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060" windowHeight="8130" tabRatio="925"/>
  </bookViews>
  <sheets>
    <sheet name="งบทดลอง" sheetId="1" r:id="rId1"/>
    <sheet name="รายงานรับ-จ่าย" sheetId="3" r:id="rId2"/>
    <sheet name="กระดาษทำการกระทบยอดเงินสะสม" sheetId="12" r:id="rId3"/>
    <sheet name="กระดาษทำการกระทบยอดเงินรายรับ" sheetId="6" r:id="rId4"/>
    <sheet name="หมายเหตุ 1 รายรับ" sheetId="4" r:id="rId5"/>
    <sheet name="Sheet1" sheetId="13" r:id="rId6"/>
    <sheet name="Sheet2" sheetId="15" r:id="rId7"/>
  </sheets>
  <calcPr calcId="125725"/>
</workbook>
</file>

<file path=xl/calcChain.xml><?xml version="1.0" encoding="utf-8"?>
<calcChain xmlns="http://schemas.openxmlformats.org/spreadsheetml/2006/main">
  <c r="T131" i="6"/>
  <c r="T128"/>
  <c r="K65"/>
  <c r="C65"/>
  <c r="K59"/>
  <c r="C59"/>
  <c r="C14" i="1"/>
  <c r="C15"/>
  <c r="H23" i="3"/>
  <c r="C96" i="6"/>
  <c r="T23"/>
  <c r="H16" i="3"/>
  <c r="D36" i="4"/>
  <c r="D61"/>
  <c r="D26"/>
  <c r="D23"/>
  <c r="D20"/>
  <c r="C10" i="1" l="1"/>
  <c r="H54" i="3"/>
  <c r="E81" i="4"/>
  <c r="G131" i="6" l="1"/>
  <c r="G128"/>
  <c r="C79"/>
  <c r="H65"/>
  <c r="D65"/>
  <c r="K57"/>
  <c r="D57"/>
  <c r="C57"/>
  <c r="K39"/>
  <c r="D39"/>
  <c r="C39"/>
  <c r="C29"/>
  <c r="D45" i="1"/>
  <c r="C24"/>
  <c r="D36" i="6"/>
  <c r="K36"/>
  <c r="C36"/>
  <c r="C94"/>
  <c r="C62"/>
  <c r="C25"/>
  <c r="C92"/>
  <c r="C61"/>
  <c r="C93"/>
  <c r="C67"/>
  <c r="H62"/>
  <c r="D59"/>
  <c r="C90"/>
  <c r="D62"/>
  <c r="D75" i="4"/>
  <c r="D74"/>
  <c r="D68"/>
  <c r="D62"/>
  <c r="D56"/>
  <c r="D55"/>
  <c r="D53"/>
  <c r="D46"/>
  <c r="D45"/>
  <c r="D43"/>
  <c r="D80"/>
  <c r="D44" i="1"/>
  <c r="C9"/>
  <c r="D42"/>
  <c r="D37"/>
  <c r="D36"/>
  <c r="C22"/>
  <c r="C20"/>
  <c r="C16"/>
  <c r="C18"/>
  <c r="C17"/>
  <c r="C13"/>
  <c r="C11"/>
  <c r="A56" i="3"/>
  <c r="A50"/>
  <c r="A52"/>
  <c r="A57"/>
  <c r="H50"/>
  <c r="H61"/>
  <c r="H15"/>
  <c r="H12"/>
  <c r="E17" l="1"/>
  <c r="G17"/>
  <c r="B17"/>
  <c r="B28"/>
  <c r="E13"/>
  <c r="E54"/>
  <c r="E53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60"/>
  <c r="E45"/>
  <c r="E46"/>
  <c r="E47"/>
  <c r="E48"/>
  <c r="E49"/>
  <c r="E50"/>
  <c r="E51"/>
  <c r="E52"/>
  <c r="E55"/>
  <c r="E56"/>
  <c r="E57"/>
  <c r="E58"/>
  <c r="E44"/>
  <c r="E20"/>
  <c r="E21"/>
  <c r="E22"/>
  <c r="E23"/>
  <c r="E24"/>
  <c r="E25"/>
  <c r="E26"/>
  <c r="E27"/>
  <c r="E28"/>
  <c r="E29"/>
  <c r="E30"/>
  <c r="E31"/>
  <c r="E32"/>
  <c r="E33"/>
  <c r="E34"/>
  <c r="E35"/>
  <c r="E19"/>
  <c r="E12"/>
  <c r="E14"/>
  <c r="E15"/>
  <c r="E16"/>
  <c r="E11"/>
  <c r="Q65" i="6"/>
  <c r="C81" i="4"/>
  <c r="E69"/>
  <c r="D69"/>
  <c r="D19"/>
  <c r="D28"/>
  <c r="B20" i="3" l="1"/>
  <c r="B52"/>
  <c r="G71"/>
  <c r="G12" l="1"/>
  <c r="D77" i="4"/>
  <c r="D76"/>
  <c r="D81" s="1"/>
  <c r="D78"/>
  <c r="H118" i="6" l="1"/>
  <c r="D18" i="4" l="1"/>
  <c r="D42"/>
  <c r="D52"/>
  <c r="B27" i="3" l="1"/>
  <c r="B45"/>
  <c r="B60"/>
  <c r="G16" l="1"/>
  <c r="G51" l="1"/>
  <c r="G66" l="1"/>
  <c r="G53"/>
  <c r="G30"/>
  <c r="G15"/>
  <c r="U57" i="12"/>
  <c r="U57" i="6"/>
  <c r="A53" i="3" l="1"/>
  <c r="A51"/>
  <c r="D59" i="4"/>
  <c r="D54"/>
  <c r="F23" i="3"/>
  <c r="F61"/>
  <c r="F50"/>
  <c r="F16"/>
  <c r="F12"/>
  <c r="A55" l="1"/>
  <c r="A54"/>
  <c r="A58"/>
  <c r="B24"/>
  <c r="B22"/>
  <c r="B15"/>
  <c r="B14"/>
  <c r="B12"/>
  <c r="B11"/>
  <c r="B63"/>
  <c r="B62"/>
  <c r="B61"/>
  <c r="B51"/>
  <c r="B50"/>
  <c r="W133" i="12" l="1"/>
  <c r="S133"/>
  <c r="R133"/>
  <c r="O133"/>
  <c r="N133"/>
  <c r="M133"/>
  <c r="I133"/>
  <c r="U131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U130" s="1"/>
  <c r="U129"/>
  <c r="T130"/>
  <c r="U128"/>
  <c r="U118"/>
  <c r="W117" s="1"/>
  <c r="L133"/>
  <c r="T117"/>
  <c r="S117"/>
  <c r="R117"/>
  <c r="Q117"/>
  <c r="P117"/>
  <c r="O117"/>
  <c r="N117"/>
  <c r="M117"/>
  <c r="L117"/>
  <c r="J117"/>
  <c r="I117"/>
  <c r="H117"/>
  <c r="G117"/>
  <c r="F117"/>
  <c r="E117"/>
  <c r="D117"/>
  <c r="C117"/>
  <c r="U116"/>
  <c r="U115"/>
  <c r="K117"/>
  <c r="K133"/>
  <c r="D133"/>
  <c r="C13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U112"/>
  <c r="U111"/>
  <c r="U110"/>
  <c r="U109"/>
  <c r="U108"/>
  <c r="C113"/>
  <c r="U106"/>
  <c r="U104"/>
  <c r="Q133"/>
  <c r="P133"/>
  <c r="U102"/>
  <c r="H133"/>
  <c r="G133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U100"/>
  <c r="U99"/>
  <c r="U98"/>
  <c r="U96"/>
  <c r="T95"/>
  <c r="S95"/>
  <c r="R95"/>
  <c r="Q95"/>
  <c r="P95"/>
  <c r="O95"/>
  <c r="N95"/>
  <c r="M95"/>
  <c r="L95"/>
  <c r="K95"/>
  <c r="J95"/>
  <c r="I95"/>
  <c r="H95"/>
  <c r="G95"/>
  <c r="F95"/>
  <c r="E95"/>
  <c r="D95"/>
  <c r="U94"/>
  <c r="U93"/>
  <c r="U92"/>
  <c r="U91"/>
  <c r="U90"/>
  <c r="C95"/>
  <c r="U79"/>
  <c r="T78"/>
  <c r="S78"/>
  <c r="R78"/>
  <c r="Q78"/>
  <c r="P78"/>
  <c r="O78"/>
  <c r="N78"/>
  <c r="M78"/>
  <c r="L78"/>
  <c r="K78"/>
  <c r="J78"/>
  <c r="I78"/>
  <c r="G78"/>
  <c r="F78"/>
  <c r="E78"/>
  <c r="D78"/>
  <c r="U77"/>
  <c r="H78"/>
  <c r="U76"/>
  <c r="U75"/>
  <c r="U74"/>
  <c r="U73"/>
  <c r="U72"/>
  <c r="U71"/>
  <c r="U70"/>
  <c r="U69"/>
  <c r="U68"/>
  <c r="U67"/>
  <c r="F133"/>
  <c r="E133"/>
  <c r="U65"/>
  <c r="T64"/>
  <c r="S64"/>
  <c r="R64"/>
  <c r="Q64"/>
  <c r="P64"/>
  <c r="O64"/>
  <c r="N64"/>
  <c r="M64"/>
  <c r="L64"/>
  <c r="J64"/>
  <c r="I64"/>
  <c r="H64"/>
  <c r="G64"/>
  <c r="F64"/>
  <c r="E64"/>
  <c r="U63"/>
  <c r="U62"/>
  <c r="U61"/>
  <c r="U60"/>
  <c r="K64"/>
  <c r="D64"/>
  <c r="C64"/>
  <c r="J133"/>
  <c r="T56"/>
  <c r="S56"/>
  <c r="R56"/>
  <c r="Q56"/>
  <c r="P56"/>
  <c r="O56"/>
  <c r="N56"/>
  <c r="M56"/>
  <c r="L56"/>
  <c r="K56"/>
  <c r="J56"/>
  <c r="I56"/>
  <c r="H56"/>
  <c r="G56"/>
  <c r="F56"/>
  <c r="E56"/>
  <c r="D56"/>
  <c r="U55"/>
  <c r="U54"/>
  <c r="U53"/>
  <c r="U52"/>
  <c r="U51"/>
  <c r="C56"/>
  <c r="U50"/>
  <c r="U39"/>
  <c r="T38"/>
  <c r="S38"/>
  <c r="R38"/>
  <c r="Q38"/>
  <c r="P38"/>
  <c r="O38"/>
  <c r="N38"/>
  <c r="M38"/>
  <c r="L38"/>
  <c r="J38"/>
  <c r="I38"/>
  <c r="H38"/>
  <c r="G38"/>
  <c r="F38"/>
  <c r="E38"/>
  <c r="U37"/>
  <c r="U36"/>
  <c r="U35"/>
  <c r="U34"/>
  <c r="U33"/>
  <c r="U32"/>
  <c r="K38"/>
  <c r="U31"/>
  <c r="C38"/>
  <c r="U29"/>
  <c r="T28"/>
  <c r="S28"/>
  <c r="R28"/>
  <c r="Q28"/>
  <c r="P28"/>
  <c r="O28"/>
  <c r="N28"/>
  <c r="M28"/>
  <c r="L28"/>
  <c r="K28"/>
  <c r="J28"/>
  <c r="I28"/>
  <c r="H28"/>
  <c r="G28"/>
  <c r="F28"/>
  <c r="E28"/>
  <c r="D28"/>
  <c r="U27"/>
  <c r="U26"/>
  <c r="C28"/>
  <c r="U23"/>
  <c r="T133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U21"/>
  <c r="U20"/>
  <c r="U19"/>
  <c r="U18"/>
  <c r="U17"/>
  <c r="U16"/>
  <c r="U15"/>
  <c r="U14"/>
  <c r="B73" i="3"/>
  <c r="E34" i="4"/>
  <c r="K117" i="6"/>
  <c r="U117" i="12" l="1"/>
  <c r="Q132"/>
  <c r="U113"/>
  <c r="O132"/>
  <c r="S132"/>
  <c r="N132"/>
  <c r="R132"/>
  <c r="T132"/>
  <c r="P132"/>
  <c r="U22"/>
  <c r="E132"/>
  <c r="I132"/>
  <c r="U101"/>
  <c r="U95"/>
  <c r="U78"/>
  <c r="L132"/>
  <c r="M132"/>
  <c r="G132"/>
  <c r="U56"/>
  <c r="F132"/>
  <c r="J132"/>
  <c r="H132"/>
  <c r="K132"/>
  <c r="C78"/>
  <c r="C132" s="1"/>
  <c r="U59"/>
  <c r="U64" s="1"/>
  <c r="D38"/>
  <c r="D132" s="1"/>
  <c r="U25"/>
  <c r="U28" s="1"/>
  <c r="U114"/>
  <c r="U133" s="1"/>
  <c r="W137" s="1"/>
  <c r="W140" s="1"/>
  <c r="U38" l="1"/>
  <c r="W38" s="1"/>
  <c r="U132" l="1"/>
  <c r="W135" s="1"/>
  <c r="F14" i="1" l="1"/>
  <c r="E14" l="1"/>
  <c r="F19"/>
  <c r="F12"/>
  <c r="F8" l="1"/>
  <c r="C130" i="6"/>
  <c r="D130"/>
  <c r="E130"/>
  <c r="F130"/>
  <c r="G130"/>
  <c r="H130"/>
  <c r="I130"/>
  <c r="J130"/>
  <c r="K130"/>
  <c r="L130"/>
  <c r="M130"/>
  <c r="O130"/>
  <c r="P130"/>
  <c r="Q130"/>
  <c r="R130"/>
  <c r="S130"/>
  <c r="T130"/>
  <c r="N130"/>
  <c r="J85" i="3"/>
  <c r="K80"/>
  <c r="J79"/>
  <c r="H79"/>
  <c r="G79"/>
  <c r="B78"/>
  <c r="B77"/>
  <c r="B76"/>
  <c r="B75"/>
  <c r="B74"/>
  <c r="B72"/>
  <c r="B71"/>
  <c r="B70"/>
  <c r="B69"/>
  <c r="B68"/>
  <c r="B67"/>
  <c r="B66"/>
  <c r="B65"/>
  <c r="B64"/>
  <c r="K79"/>
  <c r="I79"/>
  <c r="B58"/>
  <c r="B57"/>
  <c r="B56"/>
  <c r="B55"/>
  <c r="B54"/>
  <c r="B53"/>
  <c r="B49"/>
  <c r="B48"/>
  <c r="B47"/>
  <c r="B46"/>
  <c r="A59"/>
  <c r="B44"/>
  <c r="N37"/>
  <c r="J37"/>
  <c r="I37"/>
  <c r="B35"/>
  <c r="B34"/>
  <c r="B33"/>
  <c r="B32"/>
  <c r="B31"/>
  <c r="B30"/>
  <c r="B29"/>
  <c r="B26"/>
  <c r="B25"/>
  <c r="B21"/>
  <c r="B19"/>
  <c r="A18"/>
  <c r="S14"/>
  <c r="B13"/>
  <c r="S49" l="1"/>
  <c r="B23"/>
  <c r="B36" s="1"/>
  <c r="B16"/>
  <c r="B18" s="1"/>
  <c r="B59"/>
  <c r="E59"/>
  <c r="R46"/>
  <c r="E79"/>
  <c r="E36"/>
  <c r="E18"/>
  <c r="B79"/>
  <c r="B80" l="1"/>
  <c r="E81"/>
  <c r="E80"/>
  <c r="P80" s="1"/>
  <c r="E37"/>
  <c r="K37" s="1"/>
  <c r="S17"/>
  <c r="I3"/>
  <c r="S19"/>
  <c r="B81"/>
  <c r="B37"/>
  <c r="F40" i="1"/>
  <c r="B84" i="3" l="1"/>
  <c r="M81"/>
  <c r="G81"/>
  <c r="M37"/>
  <c r="G37"/>
  <c r="S37"/>
  <c r="S40" s="1"/>
  <c r="S42" s="1"/>
  <c r="E84"/>
  <c r="G84" l="1"/>
  <c r="F27" i="1"/>
  <c r="F22"/>
  <c r="F20"/>
  <c r="W133" i="6"/>
  <c r="F44" i="1"/>
  <c r="F24" l="1"/>
  <c r="F35" l="1"/>
  <c r="E18"/>
  <c r="E21" s="1"/>
  <c r="U131" i="6"/>
  <c r="U130"/>
  <c r="U129"/>
  <c r="U128"/>
  <c r="F41" i="1" l="1"/>
  <c r="F37"/>
  <c r="D46"/>
  <c r="F17"/>
  <c r="F25" s="1"/>
  <c r="C46"/>
  <c r="F30"/>
  <c r="D15" i="4" l="1"/>
  <c r="E15"/>
  <c r="L117" i="6" l="1"/>
  <c r="E63" i="4" l="1"/>
  <c r="C63"/>
  <c r="D63"/>
  <c r="E47"/>
  <c r="C47"/>
  <c r="D47"/>
  <c r="E37"/>
  <c r="C37"/>
  <c r="D37"/>
  <c r="C34"/>
  <c r="D34"/>
  <c r="E30"/>
  <c r="C30"/>
  <c r="D30"/>
  <c r="C15"/>
  <c r="S133" i="6"/>
  <c r="R133"/>
  <c r="P133"/>
  <c r="O133"/>
  <c r="N133"/>
  <c r="M133"/>
  <c r="I133"/>
  <c r="U118"/>
  <c r="W117" s="1"/>
  <c r="C133"/>
  <c r="T117"/>
  <c r="S117"/>
  <c r="R117"/>
  <c r="Q117"/>
  <c r="P117"/>
  <c r="O117"/>
  <c r="N117"/>
  <c r="M117"/>
  <c r="J117"/>
  <c r="I117"/>
  <c r="H117"/>
  <c r="G117"/>
  <c r="F117"/>
  <c r="E117"/>
  <c r="D117"/>
  <c r="C117"/>
  <c r="U116"/>
  <c r="U115"/>
  <c r="U114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U112"/>
  <c r="U111"/>
  <c r="U110"/>
  <c r="U109"/>
  <c r="U108"/>
  <c r="U106"/>
  <c r="U104"/>
  <c r="L133"/>
  <c r="U102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U100"/>
  <c r="U99"/>
  <c r="U98"/>
  <c r="U96"/>
  <c r="T95"/>
  <c r="S95"/>
  <c r="R95"/>
  <c r="Q95"/>
  <c r="P95"/>
  <c r="O95"/>
  <c r="N95"/>
  <c r="M95"/>
  <c r="L95"/>
  <c r="K95"/>
  <c r="J95"/>
  <c r="I95"/>
  <c r="H95"/>
  <c r="G95"/>
  <c r="F95"/>
  <c r="E95"/>
  <c r="D95"/>
  <c r="U94"/>
  <c r="U93"/>
  <c r="U92"/>
  <c r="U91"/>
  <c r="U90"/>
  <c r="D133"/>
  <c r="U79"/>
  <c r="T78"/>
  <c r="S78"/>
  <c r="R78"/>
  <c r="Q78"/>
  <c r="P78"/>
  <c r="O78"/>
  <c r="N78"/>
  <c r="M78"/>
  <c r="L78"/>
  <c r="K78"/>
  <c r="J78"/>
  <c r="I78"/>
  <c r="H78"/>
  <c r="G78"/>
  <c r="F78"/>
  <c r="E78"/>
  <c r="D78"/>
  <c r="U77"/>
  <c r="U76"/>
  <c r="U75"/>
  <c r="U74"/>
  <c r="U73"/>
  <c r="U72"/>
  <c r="U71"/>
  <c r="U70"/>
  <c r="U69"/>
  <c r="U68"/>
  <c r="C78"/>
  <c r="Q133"/>
  <c r="G133"/>
  <c r="F133"/>
  <c r="E133"/>
  <c r="T64"/>
  <c r="S64"/>
  <c r="R64"/>
  <c r="Q64"/>
  <c r="P64"/>
  <c r="O64"/>
  <c r="N64"/>
  <c r="M64"/>
  <c r="L64"/>
  <c r="K64"/>
  <c r="J64"/>
  <c r="I64"/>
  <c r="G64"/>
  <c r="F64"/>
  <c r="E64"/>
  <c r="C64"/>
  <c r="U63"/>
  <c r="H64"/>
  <c r="D64"/>
  <c r="U61"/>
  <c r="U60"/>
  <c r="U59"/>
  <c r="K133"/>
  <c r="J133"/>
  <c r="T56"/>
  <c r="S56"/>
  <c r="R56"/>
  <c r="Q56"/>
  <c r="P56"/>
  <c r="O56"/>
  <c r="N56"/>
  <c r="M56"/>
  <c r="L56"/>
  <c r="K56"/>
  <c r="J56"/>
  <c r="I56"/>
  <c r="H56"/>
  <c r="G56"/>
  <c r="F56"/>
  <c r="E56"/>
  <c r="D56"/>
  <c r="U55"/>
  <c r="U54"/>
  <c r="U53"/>
  <c r="U52"/>
  <c r="U51"/>
  <c r="U50"/>
  <c r="U39"/>
  <c r="T38"/>
  <c r="S38"/>
  <c r="R38"/>
  <c r="Q38"/>
  <c r="P38"/>
  <c r="O38"/>
  <c r="N38"/>
  <c r="M38"/>
  <c r="L38"/>
  <c r="K38"/>
  <c r="J38"/>
  <c r="I38"/>
  <c r="H38"/>
  <c r="G38"/>
  <c r="F38"/>
  <c r="E38"/>
  <c r="D38"/>
  <c r="U37"/>
  <c r="U36"/>
  <c r="U35"/>
  <c r="U34"/>
  <c r="U33"/>
  <c r="U32"/>
  <c r="U31"/>
  <c r="C38"/>
  <c r="U29"/>
  <c r="T28"/>
  <c r="S28"/>
  <c r="R28"/>
  <c r="Q28"/>
  <c r="P28"/>
  <c r="O28"/>
  <c r="N28"/>
  <c r="M28"/>
  <c r="L28"/>
  <c r="K28"/>
  <c r="J28"/>
  <c r="I28"/>
  <c r="H28"/>
  <c r="G28"/>
  <c r="F28"/>
  <c r="E28"/>
  <c r="D28"/>
  <c r="U27"/>
  <c r="U26"/>
  <c r="C28"/>
  <c r="U23"/>
  <c r="T133"/>
  <c r="S22"/>
  <c r="R22"/>
  <c r="Q22"/>
  <c r="P22"/>
  <c r="O22"/>
  <c r="N22"/>
  <c r="M22"/>
  <c r="L22"/>
  <c r="K22"/>
  <c r="J22"/>
  <c r="I22"/>
  <c r="H22"/>
  <c r="G22"/>
  <c r="F22"/>
  <c r="E22"/>
  <c r="D22"/>
  <c r="C22"/>
  <c r="U21"/>
  <c r="U20"/>
  <c r="U19"/>
  <c r="U18"/>
  <c r="U17"/>
  <c r="U16"/>
  <c r="U15"/>
  <c r="U14"/>
  <c r="C82" i="4" l="1"/>
  <c r="S132" i="6"/>
  <c r="R132"/>
  <c r="H133"/>
  <c r="U65"/>
  <c r="U113"/>
  <c r="O132"/>
  <c r="M132"/>
  <c r="Q132"/>
  <c r="F46" i="1"/>
  <c r="P132" i="6"/>
  <c r="N132"/>
  <c r="U101"/>
  <c r="U38"/>
  <c r="U22"/>
  <c r="E48" i="4"/>
  <c r="E64" s="1"/>
  <c r="D48"/>
  <c r="D64" s="1"/>
  <c r="L132" i="6"/>
  <c r="U95"/>
  <c r="F132"/>
  <c r="J132"/>
  <c r="H132"/>
  <c r="E132"/>
  <c r="I132"/>
  <c r="G132"/>
  <c r="K132"/>
  <c r="D132"/>
  <c r="U25"/>
  <c r="U28" s="1"/>
  <c r="C56"/>
  <c r="U56" s="1"/>
  <c r="U62"/>
  <c r="U64" s="1"/>
  <c r="C95"/>
  <c r="U67"/>
  <c r="U78" s="1"/>
  <c r="U117"/>
  <c r="T22"/>
  <c r="T132" s="1"/>
  <c r="D70" i="4" l="1"/>
  <c r="D82" s="1"/>
  <c r="E70"/>
  <c r="E82" s="1"/>
  <c r="W38" i="6"/>
  <c r="U133"/>
  <c r="U134" s="1"/>
  <c r="C132"/>
  <c r="U132"/>
  <c r="W135" s="1"/>
  <c r="W137" l="1"/>
  <c r="W140" s="1"/>
  <c r="G42" i="4" l="1"/>
  <c r="G29"/>
  <c r="G18"/>
  <c r="G11"/>
  <c r="G10"/>
  <c r="G9"/>
  <c r="G32"/>
  <c r="G33"/>
  <c r="G36"/>
  <c r="G46"/>
  <c r="G17"/>
  <c r="G19"/>
  <c r="G20"/>
  <c r="G21"/>
  <c r="G22"/>
  <c r="G23"/>
  <c r="G24"/>
  <c r="G25"/>
  <c r="G26"/>
  <c r="G27"/>
  <c r="G43"/>
  <c r="G44"/>
  <c r="G45"/>
</calcChain>
</file>

<file path=xl/sharedStrings.xml><?xml version="1.0" encoding="utf-8"?>
<sst xmlns="http://schemas.openxmlformats.org/spreadsheetml/2006/main" count="1037" uniqueCount="411">
  <si>
    <t xml:space="preserve">งบทดลอง   </t>
  </si>
  <si>
    <t>ชื่อบัญชี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</si>
  <si>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</si>
  <si>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</si>
  <si>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</si>
  <si>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</si>
  <si>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</si>
  <si>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ธกส(ออมทรัพย์) เลขที่ 890-2-44353-8</t>
  </si>
  <si>
    <t>110201</t>
  </si>
  <si>
    <t>เงินฝากธนาคาร ธกส.(ออมทรัพย์) เลขที่ 890-2-46698-0</t>
  </si>
  <si>
    <t>เงินฝากธนาคาร กรุงไทย(ออมทรัพย์) เลขที่ 814-0-00415-4</t>
  </si>
  <si>
    <t>110202</t>
  </si>
  <si>
    <t>110300</t>
  </si>
  <si>
    <t>รายจ่ายตามงบประมาณ</t>
  </si>
  <si>
    <t>เงินเดือน  (ฝ่ายการเมือง)</t>
  </si>
  <si>
    <t>521000</t>
  </si>
  <si>
    <t xml:space="preserve">                   </t>
  </si>
  <si>
    <t>เงินเดือน  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</si>
  <si>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</si>
  <si>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</si>
  <si>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</si>
  <si>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</si>
  <si>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</si>
  <si>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</si>
  <si>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</si>
  <si>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</si>
  <si>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</si>
  <si>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เงินอุดหนุน</t>
  </si>
  <si>
    <t>560000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</si>
  <si>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</si>
  <si>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</si>
  <si>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</si>
  <si>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</si>
  <si>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</si>
  <si>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550000</t>
  </si>
  <si>
    <t>110605</t>
  </si>
  <si>
    <t>110606</t>
  </si>
  <si>
    <t xml:space="preserve"> </t>
  </si>
  <si>
    <t>รายจ่ายค้างจ่าย</t>
  </si>
  <si>
    <t>210500</t>
  </si>
  <si>
    <t>230100</t>
  </si>
  <si>
    <t>300000</t>
  </si>
  <si>
    <t>320000</t>
  </si>
  <si>
    <t>400000</t>
  </si>
  <si>
    <t>รวม</t>
  </si>
  <si>
    <t>เทศบาลตำบลปากน้ำฉวาง  อำเภอฉวาง  จังหวัดนครศรีธรรมราช</t>
  </si>
  <si>
    <t>รายการ</t>
  </si>
  <si>
    <t>ยอดยกมา</t>
  </si>
  <si>
    <t>อำเภอฉวาง   จังหวัดนครศรีธรรมราช</t>
  </si>
  <si>
    <t>รายงาน  รับ   -   จ่าย  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</si>
  <si>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</si>
  <si>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</si>
  <si>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</si>
  <si>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</si>
  <si>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</si>
  <si>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</si>
  <si>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</si>
  <si>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</si>
  <si>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</si>
  <si>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</si>
  <si>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</si>
  <si>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</si>
  <si>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</si>
  <si>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</si>
  <si>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</si>
  <si>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</si>
  <si>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</si>
  <si>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</si>
  <si>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</si>
  <si>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ภาษีอากร</t>
  </si>
  <si>
    <t>ค่าธรรมเนียม ค่าปรับและใบอนุญาต</t>
  </si>
  <si>
    <t>รายได้จากทรัพย์สิน(ดอกเบี้ย+ค่าเช่า)</t>
  </si>
  <si>
    <t>รายได้จากสาธารณูปโภคและการพาณิชย์</t>
  </si>
  <si>
    <t xml:space="preserve">รายได้เบ็ดเตล็ด </t>
  </si>
  <si>
    <t>ภาษีจัดสรร</t>
  </si>
  <si>
    <t>เงินอุดหนุนทั่วไป</t>
  </si>
  <si>
    <t xml:space="preserve">บัญชีเงินสะสม </t>
  </si>
  <si>
    <t>ค่าตอบแทนผดด.ศูนย์วัดฯ</t>
  </si>
  <si>
    <t>ค่าตอบแทนผดด - ประกันสังคม</t>
  </si>
  <si>
    <t>รวมรายรับ</t>
  </si>
  <si>
    <t>รายจ่าย</t>
  </si>
  <si>
    <t>กรุณาใส่ตัวเลขเพื่อบวกยอดเพิ่มในงบรับจ่ายเงินสด</t>
  </si>
  <si>
    <t xml:space="preserve">              งบกลาง (สำรองจ่าย )</t>
  </si>
  <si>
    <t xml:space="preserve">              งบกลาง (ประกันสังคม)</t>
  </si>
  <si>
    <t xml:space="preserve">              เงินเดือน (ฝ่ายการเมือง)</t>
  </si>
  <si>
    <t xml:space="preserve">              เงินเดือน (ฝ่ายประจำ)</t>
  </si>
  <si>
    <t xml:space="preserve">              ค่าตอบแทน</t>
  </si>
  <si>
    <t xml:space="preserve">              ค่าใช้สอย</t>
  </si>
  <si>
    <t xml:space="preserve">              ค่าวัสดุ</t>
  </si>
  <si>
    <t xml:space="preserve">              ค่าสาธารณูปโภค</t>
  </si>
  <si>
    <t xml:space="preserve">              เงินอุดหนุน</t>
  </si>
  <si>
    <t xml:space="preserve">              ค่าครุภัณฑ์</t>
  </si>
  <si>
    <t xml:space="preserve">              ค่าที่ดินและสิ่งก่อสร้าง</t>
  </si>
  <si>
    <t xml:space="preserve">              รายจ่ายอื่น</t>
  </si>
  <si>
    <t xml:space="preserve">             บัญชีเงินสะสม (จ่ายขาดสะสม)</t>
  </si>
  <si>
    <t xml:space="preserve">              ลูกหนี้เงินยืมเงิน  - งบประมาณ</t>
  </si>
  <si>
    <t xml:space="preserve">              รายจ่ายรอจ่าย</t>
  </si>
  <si>
    <t xml:space="preserve">              รายจ่ายค้างจ่าย</t>
  </si>
  <si>
    <t>ลูกหนี้ง/ยเงินอุดหนุนค่าตอบแทนครูวัดควนสูง</t>
  </si>
  <si>
    <t>ลูกหนี้ง/ย-เงินสะสมเงินอุดหนุนเบี้ยผู้สูงอายุ</t>
  </si>
  <si>
    <t>รวมรายจ่าย</t>
  </si>
  <si>
    <t>สูงกว่า</t>
  </si>
  <si>
    <t>รายรับ                            รายจ่าย</t>
  </si>
  <si>
    <t>(ต่ำกว่า)</t>
  </si>
  <si>
    <t>ยอดยกไป</t>
  </si>
  <si>
    <t>กระดาษทำการกระทบยอด</t>
  </si>
  <si>
    <t>รายจ่ายตามงบประมาณ (จ่ายจากรายรับ)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</si>
  <si>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</si>
  <si>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</si>
  <si>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</si>
  <si>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</si>
  <si>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</si>
  <si>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</si>
  <si>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</si>
  <si>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</si>
  <si>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</si>
  <si>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</si>
  <si>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</si>
  <si>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แผนงานบริหารทั่วไป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</si>
  <si>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</si>
  <si>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</si>
  <si>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</si>
  <si>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</si>
  <si>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</si>
  <si>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</si>
  <si>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แผนงานการเกษตร</t>
  </si>
  <si>
    <t>แผนงานการพาณิชย์</t>
  </si>
  <si>
    <t>แผนงานงบกลาง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</si>
  <si>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</si>
  <si>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</si>
  <si>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</si>
  <si>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</si>
  <si>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</si>
  <si>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</si>
  <si>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</si>
  <si>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</si>
  <si>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00241</t>
  </si>
  <si>
    <t>00242</t>
  </si>
  <si>
    <t>00244</t>
  </si>
  <si>
    <t>00252</t>
  </si>
  <si>
    <t>00261</t>
  </si>
  <si>
    <t>00262</t>
  </si>
  <si>
    <t>00263</t>
  </si>
  <si>
    <t>00321</t>
  </si>
  <si>
    <t>00332</t>
  </si>
  <si>
    <t>00411</t>
  </si>
  <si>
    <t>งานบริหารทั่วไป</t>
  </si>
  <si>
    <t>งานบริหารงานคลัง</t>
  </si>
  <si>
    <t>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</si>
  <si>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</si>
  <si>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</si>
  <si>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</si>
  <si>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</si>
  <si>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</si>
  <si>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</si>
  <si>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</si>
  <si>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</si>
  <si>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งานส่งเสริมและสนับสนุนความเข้มแข็งชุมชน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</si>
  <si>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</si>
  <si>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</si>
  <si>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</si>
  <si>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งานส่งเสริมการเกษตร</t>
  </si>
  <si>
    <t>งานกิจการประปา</t>
  </si>
  <si>
    <t>งบกลาง</t>
  </si>
  <si>
    <t>เงินสมทบกองทุนประกันสังคม</t>
  </si>
  <si>
    <t>เงินสมทบกองทุนบำเหน็จบำนาญข้าราชการส่วนท้องถิ่น</t>
  </si>
  <si>
    <t>เงินทุนการศึกษา</t>
  </si>
  <si>
    <t>เบี้ยยังชีพคนพิการ</t>
  </si>
  <si>
    <t>เบี้ยยังชีพผู้ป่วยเอดส์</t>
  </si>
  <si>
    <t>เงินสมทบกองทุนหลักประกันสุขภาพ</t>
  </si>
  <si>
    <t>เงินสำรองจ่าย</t>
  </si>
  <si>
    <t>รวมเดือนนี้</t>
  </si>
  <si>
    <t>รวมตั้งแต่ต้นปี</t>
  </si>
  <si>
    <t>เงินเดือน (ฝ่ายการเมือง)</t>
  </si>
  <si>
    <t>เงินเดือนนายก/รองนายก</t>
  </si>
  <si>
    <t>ค่าตอบแทนเลขา</t>
  </si>
  <si>
    <t>ค่าตอบแทนสมาชิก</t>
  </si>
  <si>
    <t>เงินเดือน (ฝ่ายประจำ)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</si>
  <si>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</si>
  <si>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</si>
  <si>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</si>
  <si>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</si>
  <si>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เงินเพิ่มต่าง ๆ ของลูกจ้างประจำ</t>
  </si>
  <si>
    <t>ค่าจ้างพนักงานจ้าง</t>
  </si>
  <si>
    <t>เงินเพิ่มต่าง ๆ ของพนักงานจ้าง</t>
  </si>
  <si>
    <t>ค่าตอบแทนผู้ปฏิบัติราชการอันเป็นประโยชน์แก่ อปท.</t>
  </si>
  <si>
    <t>ค่าเบี้ยประชุม</t>
  </si>
  <si>
    <t>ค่าตอบแทนการปฏบัติงานนอกเวลาราชการ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</si>
  <si>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</si>
  <si>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</si>
  <si>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</si>
  <si>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รายจ่ายเพื่อให้ได้มาซึ่งบริการ</t>
  </si>
  <si>
    <t>รายจ่ายเพื่อบำรุงรักษาหรือซ่อมแซมทรัพย์สิน</t>
  </si>
  <si>
    <t>รายจ่ายเกี่ยวกับการรับรองหรือพิธีการ</t>
  </si>
  <si>
    <t>รายจ่ายเกี่ยวเนื่องกับการปฏิบัติราชการที่</t>
  </si>
  <si>
    <t>ไม่เข้าลักษณะรายจ่ายหมวดอื่น ๆ</t>
  </si>
  <si>
    <t>วัสดุสำนักงาน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</si>
  <si>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</si>
  <si>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</si>
  <si>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</si>
  <si>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</si>
  <si>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</si>
  <si>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วัสดุโฆษณาและเผยแพร่</t>
  </si>
  <si>
    <t>วัสดุคอมพิวเตอร์</t>
  </si>
  <si>
    <t>วัสดุอื่น ๆ</t>
  </si>
  <si>
    <t>ค่าไฟฟ้า</t>
  </si>
  <si>
    <t>ค่าน้ำประปา</t>
  </si>
  <si>
    <t>ค่าโทรศัพท์</t>
  </si>
  <si>
    <t>ค่าไปรษณีย์</t>
  </si>
  <si>
    <t>เงินอุดหนุนอปท.อื่น</t>
  </si>
  <si>
    <t>เงินอุดหนุนส่วนราชการ เอกชนหรือ</t>
  </si>
  <si>
    <t>กิจการเป็นสาธารณประโยชน์</t>
  </si>
  <si>
    <t>ครุภัณฑ์สำนักงาน</t>
  </si>
  <si>
    <t>ครุภัณฑ์โฆษณาและเผยแพร่</t>
  </si>
  <si>
    <t>ครุภัณฑ์วิทยาศาสตร์หรือการแพทย์</t>
  </si>
  <si>
    <t>ครุภัณฑ์งานบ้านงานครัว</t>
  </si>
  <si>
    <t>ครุภัณฑ์คอมพิวเตอร์</t>
  </si>
  <si>
    <t>รวมทั้งสิ้นเดือนนี้</t>
  </si>
  <si>
    <t>รวมทั้งสิ้นตั้งแต่ต้นปี</t>
  </si>
  <si>
    <t>อำเภอฉวาง  จังหวัดนครศรีธรรมราช</t>
  </si>
  <si>
    <t>รายรับจริงประกอบงบทดลองและรายงานรับ - จ่ายเงินสด</t>
  </si>
  <si>
    <t>รวมรับจริง</t>
  </si>
  <si>
    <t>รับจริง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</si>
  <si>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</si>
  <si>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</si>
  <si>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</si>
  <si>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</si>
  <si>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</si>
  <si>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1) ค่าธรรมเนียมใบอนุญาตการพนัน</t>
  </si>
  <si>
    <t>2) ค่าธรรมเนียมเก็บขนมูลฝอย</t>
  </si>
  <si>
    <t>4) ค่าธรรมเนียมเกี่ยวกับควบคุมอาคาร</t>
  </si>
  <si>
    <t>6) ค่าปรับผู้กระทำผิดกฎจราจรทางบก</t>
  </si>
  <si>
    <t>หมวดรายได้จากทรัพย์สิน</t>
  </si>
  <si>
    <t>1)  ดอกเบี้ยเงินฝากธนาคาร</t>
  </si>
  <si>
    <t>หมวดรายได้จากสาธารณูปโภคและการพาณิชย์</t>
  </si>
  <si>
    <t>1)รายได้จากสาธารณูปโภคอื่นๆ</t>
  </si>
  <si>
    <t>หมวดรายได้เบ็ดเตล็ด</t>
  </si>
  <si>
    <t>2) รายได้เบ็ดเตล็ดอื่นๆ</t>
  </si>
  <si>
    <t>3) เงินที่มีผู้อุทิศให้</t>
  </si>
  <si>
    <t>รวมรายรับจริง</t>
  </si>
  <si>
    <t>รายได้ที่รัฐบาลจัดสรรให้องค์กรปกครองส่วนท้องถิ่น</t>
  </si>
  <si>
    <t>1) ภาษีและค่าธรรมเนียมรถยนต์หรือล้อเลื่อน</t>
  </si>
  <si>
    <t>2) ภาษีมูลค่าเพิ่ม (ตามแผน)</t>
  </si>
  <si>
    <t>3) ภาษีมูลค่าเพิ่ม (1 ใน 9)</t>
  </si>
  <si>
    <t>4) ภาษีธุรกิจเฉพาะ</t>
  </si>
  <si>
    <t>5) ภาษีสุรา</t>
  </si>
  <si>
    <t>6) ภาษีสรรพสามิต</t>
  </si>
  <si>
    <t>7) ภาษีการพนัน</t>
  </si>
  <si>
    <t>8) ค่าภาคหลวงแร่</t>
  </si>
  <si>
    <t>9) ค่าภาคหลวงปิโตเลียม</t>
  </si>
  <si>
    <t>10) เงินที่เก็บตามกฎหมายว่าด้วยอุทยานแห่งชาติ</t>
  </si>
  <si>
    <t>11) ค่าธรรมเนียมจดทะเบียนสิทธิและนิติกรรมที่ดิน</t>
  </si>
  <si>
    <t>รวมรายรับจริงและเงินที่รัฐบาลจัดสรร</t>
  </si>
  <si>
    <t>รายได้ที่รัฐบาลอุดหนุนให้องค์กรปกครองส่วน -</t>
  </si>
  <si>
    <t xml:space="preserve">ท้องถิ่น </t>
  </si>
  <si>
    <t>รวมรายรับจริง,เงินที่รัฐบาลจัดสรรและเงินอุดหนุน</t>
  </si>
  <si>
    <t>รวมรายรับทั้งหมด</t>
  </si>
  <si>
    <t>เทศบาลตำบลปากน้ำฉวาง</t>
  </si>
  <si>
    <t xml:space="preserve">    หมายเหตุ  1</t>
  </si>
  <si>
    <t>110204</t>
  </si>
  <si>
    <t>510000</t>
  </si>
  <si>
    <t>(ลงชื่อ)......................................                                                                                            (ลงชื่อ)......................................                                                                     (ลงชื่อ)......................................</t>
  </si>
  <si>
    <t>ลูกหนี้ง/ยเงินอุดหนุนค่าตอบแทนครูศพด.ทต.ปากน้ำฉวาง</t>
  </si>
  <si>
    <t>เงินสะสม</t>
  </si>
  <si>
    <t>เงินทุนสำรองเงินสะสม</t>
  </si>
  <si>
    <t>110609</t>
  </si>
  <si>
    <t>110610</t>
  </si>
  <si>
    <r>
      <t xml:space="preserve">              บัญชีเงินรับฝาก  </t>
    </r>
    <r>
      <rPr>
        <b/>
        <i/>
        <sz val="14"/>
        <rFont val="TH SarabunIT๙"/>
        <family val="2"/>
      </rPr>
      <t>(หมายเหตุ 1)</t>
    </r>
  </si>
  <si>
    <r>
      <t>ร</t>
    </r>
    <r>
      <rPr>
        <b/>
        <u/>
        <sz val="15"/>
        <rFont val="TH SarabunIT๙"/>
        <family val="2"/>
      </rPr>
      <t>ายได้จัดเก็บเอง</t>
    </r>
  </si>
  <si>
    <t>ค่าตอบแทนผดด.ศูนย์เด็กทต.ปากน้ำฉวาง</t>
  </si>
  <si>
    <t>ค่าบริการโทรคมนาคม</t>
  </si>
  <si>
    <t>รับคืนเงินงบกลาง-เบี้ยผู้สูงอายุ-พิการ</t>
  </si>
  <si>
    <t xml:space="preserve">              </t>
  </si>
  <si>
    <t>วัสดุไฟฟ้าและวิทยุ</t>
  </si>
  <si>
    <t>ครุภัณฑ์อื่น(ค่าซ่อมเกิน 5,000 บาท)</t>
  </si>
  <si>
    <t>ครุภัณฑ์ไฟฟ้าและวิทยุ</t>
  </si>
  <si>
    <t>วัสดุแครื่องแต่งกาย</t>
  </si>
  <si>
    <t>4)  ค่าปรับยื่นแบบ(ภาษีบำรุงท้องที่)</t>
  </si>
  <si>
    <t>5)  ค่าปรับล่าช้า (ภาษีบำรุงท้องที่)</t>
  </si>
  <si>
    <t>7) ค่าปรับผู้กระทำผิดกฎหมายและเทศบัญญัติ</t>
  </si>
  <si>
    <t>8) ค่าใบอนุญาตตั้งสถานที่จำหน่ายหรือสะสมอาหาร</t>
  </si>
  <si>
    <t>9) ค่าใบอนุญาตจำหน่ายสินค้าในที่สาธารณะ</t>
  </si>
  <si>
    <t>10) ค่าใบอนุญาตเกี่ยวกับการควบคุมอาคาร</t>
  </si>
  <si>
    <t>11) ค่าใบอนุญาตเกี่ยวกับการโฆษณาใช้เครื่องเสียง</t>
  </si>
  <si>
    <t>หมวดภาษีจัดสรร</t>
  </si>
  <si>
    <t>ครุภัณฑ์ก่อสร้าง</t>
  </si>
  <si>
    <t>ครุภัณฑ์สำรวจ</t>
  </si>
  <si>
    <t>ลูกหนี้-ค่าน้ำประปา</t>
  </si>
  <si>
    <t>เงินค่าบำรุงสันนิบาตเทศบาล</t>
  </si>
  <si>
    <t>411000</t>
  </si>
  <si>
    <t>412000</t>
  </si>
  <si>
    <t>413000</t>
  </si>
  <si>
    <t>414000</t>
  </si>
  <si>
    <t>415000</t>
  </si>
  <si>
    <t>420000</t>
  </si>
  <si>
    <t>430000</t>
  </si>
  <si>
    <t>120100</t>
  </si>
  <si>
    <t>111000</t>
  </si>
  <si>
    <t>110900</t>
  </si>
  <si>
    <t>440000</t>
  </si>
  <si>
    <t>ลูกหนี้ง/ยเงินอุดหนุนประกันสังคม(ศพด.ทต.)</t>
  </si>
  <si>
    <t>411001</t>
  </si>
  <si>
    <t>411002</t>
  </si>
  <si>
    <t>411003</t>
  </si>
  <si>
    <t>411004</t>
  </si>
  <si>
    <t>411005</t>
  </si>
  <si>
    <t>411006</t>
  </si>
  <si>
    <t>412104</t>
  </si>
  <si>
    <t>412112</t>
  </si>
  <si>
    <t>412106</t>
  </si>
  <si>
    <t>412202</t>
  </si>
  <si>
    <t>412307</t>
  </si>
  <si>
    <t>412399</t>
  </si>
  <si>
    <t>413004</t>
  </si>
  <si>
    <t>415004</t>
  </si>
  <si>
    <t>415999</t>
  </si>
  <si>
    <t>415003</t>
  </si>
  <si>
    <t>ลูกหนี้-ค่าขยะมูลฝอย</t>
  </si>
  <si>
    <t>รายจ่าย (จ่ายจากเงินสะสม)</t>
  </si>
  <si>
    <t xml:space="preserve">        (นายสง่าชัย  หนูเนียม)                                                                                                               (นายสง่าชัย  หนูเนียม)                                                                         (นายบุญธรรม  รุ่งเรือง)</t>
  </si>
  <si>
    <t xml:space="preserve">ปลัด ทต.รักษาราชการแทน ผู้อำนวยการกองคลัง                                                                      ปลัดเทศบาลตำบลปากน้ำฉวาง                                                             นายกเทศมนตรีตำบลปากน้ำฉวาง </t>
  </si>
  <si>
    <t>ลูกหนี้-เงินยืมเงินงบประมาณ</t>
  </si>
  <si>
    <t>ปีงบประมาณ  2558</t>
  </si>
  <si>
    <t xml:space="preserve">              งบกลาง (รายจ่ายตามข้อผูกพัน)</t>
  </si>
  <si>
    <t xml:space="preserve">              งบกลาง (กบท)</t>
  </si>
  <si>
    <t>111100</t>
  </si>
  <si>
    <t>ครุภัณฑ์ยานพาหนะและขนส่ง</t>
  </si>
  <si>
    <r>
      <t>รายรับ</t>
    </r>
    <r>
      <rPr>
        <b/>
        <sz val="14"/>
        <rFont val="TH SarabunIT๙"/>
        <family val="2"/>
      </rPr>
      <t xml:space="preserve"> </t>
    </r>
  </si>
  <si>
    <r>
      <t xml:space="preserve">เงินรับฝาก </t>
    </r>
    <r>
      <rPr>
        <b/>
        <i/>
        <u/>
        <sz val="14"/>
        <rFont val="TH SarabunIT๙"/>
        <family val="2"/>
      </rPr>
      <t xml:space="preserve"> (หมายเหตุ 1)</t>
    </r>
  </si>
  <si>
    <t xml:space="preserve">              งบกลาง (เบี้ยคนชรา พิการ เอดส์)</t>
  </si>
  <si>
    <t>เงินฝาก ก.ส.ท.</t>
  </si>
  <si>
    <t>120200</t>
  </si>
  <si>
    <r>
      <t>บัญชีเงินรายรับ</t>
    </r>
    <r>
      <rPr>
        <b/>
        <sz val="16"/>
        <rFont val="TH SarabunIT๙"/>
        <family val="2"/>
      </rPr>
      <t>(หมายเหตุ 1)</t>
    </r>
  </si>
  <si>
    <r>
      <t xml:space="preserve">เงินรับฝาก </t>
    </r>
    <r>
      <rPr>
        <b/>
        <sz val="16"/>
        <rFont val="TH SarabunIT๙"/>
        <family val="2"/>
      </rPr>
      <t xml:space="preserve"> (หมายเหตุ   2  )</t>
    </r>
  </si>
  <si>
    <t>2) รายได้จากทรัพย์สินอื่น ๆ</t>
  </si>
  <si>
    <t>6)  ค่าปรับล่าช้า (ภาษีโรงเรือนและที่ดิน)</t>
  </si>
  <si>
    <t>5) ค่าธรรมเนียมอื่นๆ</t>
  </si>
  <si>
    <t>5)ค่าตอบแทนหน่วยบริการแพทย์ฉุกเฉิน</t>
  </si>
  <si>
    <t>415005</t>
  </si>
  <si>
    <t xml:space="preserve">     ผู้อำนวยการกองคลัง </t>
  </si>
  <si>
    <t xml:space="preserve">        (นายสง่าชัย  หนูเนียม)                                                                                                               (นายสง่าชัย  หนูเนียม)                                                                             (นายบุญธรรม รุ่งเรือง)</t>
  </si>
  <si>
    <t xml:space="preserve">   ปลัด ทต.รักษาราชการแทน                                                                                                      ปลัดเทศบาลตำบลปากน้ำฉวาง                                                             นายกเทศมนตรีตำบลปากน้ำฉวาง </t>
  </si>
  <si>
    <t>เงินอุดหนุน - คนพิการ</t>
  </si>
  <si>
    <t>เงินอุดหนุน -ยาเสพติด</t>
  </si>
  <si>
    <t>เงินอุดหนุน-วัสดุการศึกษา</t>
  </si>
  <si>
    <t xml:space="preserve"> เงินอุดหนุน (ผดด.)วัดควนสูง</t>
  </si>
  <si>
    <t xml:space="preserve"> เงินอุดหนุน (ผดด.)ทต.ปากน้ำฉวาง</t>
  </si>
  <si>
    <t xml:space="preserve"> เงินอุดหนุน-วัสดุการศึกษา</t>
  </si>
  <si>
    <t>เงินอุดหนุน-เบี้ยยังชีพตามนโยบายรัฐฯ</t>
  </si>
  <si>
    <t>เงินอุดหนุน- ประกันสังคม ศพด.วัดควนสูง</t>
  </si>
  <si>
    <t xml:space="preserve"> เงินอุดหนุน -ผดด .ประกันสังคมทต.</t>
  </si>
  <si>
    <t>เงินอุดหนุน-เบี้ยคนพิการ</t>
  </si>
  <si>
    <t>เงินอุดหนุน-กำหนดวัตถุประสงค์</t>
  </si>
  <si>
    <t>เงินอุดหนุนกำหนดวัตถุประสงค์</t>
  </si>
  <si>
    <t>งบกลาง(เงินอุดหนุน)</t>
  </si>
  <si>
    <t>เงินเดือน  (เงินอุดหนุน)</t>
  </si>
  <si>
    <t>ค่าตอบแทน(เงินอุดหนุน)</t>
  </si>
  <si>
    <t>ค่าใช้สอย(เงินอุดหนุน)</t>
  </si>
  <si>
    <t>ค่าวัสดุ(เงินอุดหนุน)</t>
  </si>
  <si>
    <t>ลูกหนี้-เงินยืมสะสมอุดหนุนเบี้ยผู้สูงอายุ</t>
  </si>
  <si>
    <t>ลูกหนี้-เงินยืมสะสมอุดหนุนเบี้ยความพิการ</t>
  </si>
  <si>
    <t>ลูกหนี้-เงินยืมสะสมอุดหนุนค่าตอบแทนครูศพด.ทต.</t>
  </si>
  <si>
    <t>ลูกหนี้-เงินยืมสะสมอุดหนุนค่าตอบแทนครูวัดควนสูง</t>
  </si>
  <si>
    <t>เงินอุดหนุน - เบี้ยผู้สูงอายุ</t>
  </si>
  <si>
    <t>เงินอุดหนุน-ผดด(ควนสูง)</t>
  </si>
  <si>
    <t>เงินอุดหนุน-ผดด(ทต.ปากน้ำฉวาง)</t>
  </si>
  <si>
    <t>เงินอุดหนุน-ประกันสังคม ผดด(ทต. ปากน้ำฉวาง)</t>
  </si>
  <si>
    <t>4)เงินโครงการเศรษฐกิจชุมชน(ทต.ตั้งชดใช้)</t>
  </si>
  <si>
    <t>12)ภาษีจัดสรรอื่น ฯ</t>
  </si>
  <si>
    <t>3) ค่าธรรมเนียมจดทะเบียนพาณิชย์</t>
  </si>
  <si>
    <t>1) ค่าขายแบบแปลน</t>
  </si>
  <si>
    <t>หมวดเงินอุดหนุนกำหนดวัตถุประสงค์</t>
  </si>
  <si>
    <t>1) เงินอุดหนุน-ยาเสพติด</t>
  </si>
  <si>
    <t>2) เงินอุดหนุน-ปรับปรุงผิวจราจร</t>
  </si>
  <si>
    <t>3) เงินอุดหนุน  -  เบี้ยยังชีพผู้สูงอายุ</t>
  </si>
  <si>
    <t>4) เงินอุดหนุน - เบี้ยยังชีพคนพิการ</t>
  </si>
  <si>
    <t>5)เงินอุดหนุน-ทต.ปากน้ำฉวาง</t>
  </si>
  <si>
    <t>6)เงินอุดหนุน-วัดควนสูง</t>
  </si>
  <si>
    <t>ลูกหนี้ - ค่าน้ำประปา</t>
  </si>
  <si>
    <t>ลูกหนี้ - ค่าขยะมูลฝอย</t>
  </si>
  <si>
    <t>เงินอุดหนุน-ค่าการเรียนการสอน</t>
  </si>
  <si>
    <t>เงินอุดหนุน-เบี้ยยังชีพคนชราตามนโยบายรัฐบาล</t>
  </si>
  <si>
    <t xml:space="preserve">              ลูกหนี้เงินยืมเงิน-สะสมเบี้ยความพิการ</t>
  </si>
  <si>
    <t xml:space="preserve">เงินรับคืนบัญชี </t>
  </si>
  <si>
    <t xml:space="preserve"> เงินอุดหนุน -ยาเสพติด</t>
  </si>
  <si>
    <t>เงินอุดหนุน -สื่อการเรียนการสอน</t>
  </si>
  <si>
    <t>7)เงินอุดหนุน-สื่อการศึกษา</t>
  </si>
  <si>
    <t>510001</t>
  </si>
  <si>
    <t>522001</t>
  </si>
  <si>
    <t>531001</t>
  </si>
  <si>
    <t>532001</t>
  </si>
  <si>
    <t>533001</t>
  </si>
  <si>
    <t>431004</t>
  </si>
  <si>
    <t>310000</t>
  </si>
  <si>
    <t xml:space="preserve">13) ค่าใบอนุญาตอื่น ๆ </t>
  </si>
  <si>
    <t>12)ค่าปรับผิดสัญญา</t>
  </si>
  <si>
    <t>หมวดเงินอุดหนุนทั่วไป</t>
  </si>
  <si>
    <t>รวมเงินอุดหนุนทั่วไป</t>
  </si>
  <si>
    <t>1) เงินอุดหนุนทั่วไป(ตามอำนาจหน้าที่และภาระกิจถ่ายโอน)</t>
  </si>
  <si>
    <t>วันที่  31 ธันวาคม 2557</t>
  </si>
  <si>
    <t xml:space="preserve"> ณวันที่ 31  ธันวาคม 2557</t>
  </si>
  <si>
    <t>เงินอุดหนุน-ตามแผนยุทธศาตร์</t>
  </si>
  <si>
    <t>เงินอุดหนุน -ตามแผนยุทธศาสตร์</t>
  </si>
  <si>
    <t>8)เงินอุดหนุน-ตามแผนยุทธศาสตร์</t>
  </si>
  <si>
    <t>ประจำเดือน ธันวาคม 2557</t>
  </si>
  <si>
    <t xml:space="preserve">  ณ วันที่ 31  ธันวาคม 2557</t>
  </si>
  <si>
    <t xml:space="preserve">              เงินฝาก กสท.</t>
  </si>
  <si>
    <t>เงินอุดหนุน-จัดการขยะมุลฝอย</t>
  </si>
  <si>
    <t>9)เงินอุดหนุน-จัดการขยะมูลฝอย</t>
  </si>
  <si>
    <t>รายจ่ายตามข้อผูกพัน</t>
  </si>
  <si>
    <t>เงินอุดหนุน -โครงการกำจัดขยะมูลฝอย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</si>
</sst>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.00_-;\-* #,##0.00_-;_-* &quot;-&quot;_-;_-@_-"/>
  </numFmts>
  <fonts count="3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ngsana New"/>
      <family val="1"/>
    </font>
    <font>
      <sz val="10"/>
      <color indexed="10"/>
      <name val="Angsana New"/>
      <family val="1"/>
    </font>
    <font>
      <sz val="10"/>
      <color indexed="12"/>
      <name val="Angsana New"/>
      <family val="1"/>
    </font>
    <font>
      <b/>
      <sz val="10"/>
      <name val="Angsana New"/>
      <family val="1"/>
    </font>
    <font>
      <b/>
      <sz val="10"/>
      <color indexed="10"/>
      <name val="Angsana New"/>
      <family val="1"/>
    </font>
    <font>
      <b/>
      <sz val="10"/>
      <color indexed="12"/>
      <name val="Angsana New"/>
      <family val="1"/>
    </font>
    <font>
      <sz val="8"/>
      <name val="Angsana New"/>
      <family val="1"/>
    </font>
    <font>
      <sz val="7"/>
      <name val="Angsana New"/>
      <family val="1"/>
    </font>
    <font>
      <sz val="9"/>
      <name val="Angsana New"/>
      <family val="1"/>
    </font>
    <font>
      <b/>
      <sz val="15"/>
      <name val="TH SarabunIT๙"/>
      <family val="2"/>
    </font>
    <font>
      <sz val="11"/>
      <color theme="1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b/>
      <sz val="16"/>
      <name val="TH SarabunIT๙"/>
      <family val="2"/>
    </font>
    <font>
      <b/>
      <i/>
      <sz val="14"/>
      <name val="TH SarabunIT๙"/>
      <family val="2"/>
    </font>
    <font>
      <sz val="16"/>
      <color indexed="10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rgb="FFFF0000"/>
      <name val="TH SarabunIT๙"/>
      <family val="2"/>
    </font>
    <font>
      <b/>
      <u/>
      <sz val="15"/>
      <name val="TH SarabunIT๙"/>
      <family val="2"/>
    </font>
    <font>
      <sz val="14"/>
      <color theme="1"/>
      <name val="TH SarabunIT๙"/>
      <family val="2"/>
    </font>
    <font>
      <sz val="8"/>
      <color indexed="12"/>
      <name val="Angsana New"/>
      <family val="1"/>
    </font>
    <font>
      <sz val="9"/>
      <color indexed="12"/>
      <name val="Angsana New"/>
      <family val="1"/>
    </font>
    <font>
      <b/>
      <u/>
      <sz val="14"/>
      <name val="TH SarabunIT๙"/>
      <family val="2"/>
    </font>
    <font>
      <b/>
      <i/>
      <u/>
      <sz val="14"/>
      <name val="TH SarabunIT๙"/>
      <family val="2"/>
    </font>
    <font>
      <sz val="14"/>
      <color theme="7" tint="0.39997558519241921"/>
      <name val="TH SarabunIT๙"/>
      <family val="2"/>
    </font>
    <font>
      <b/>
      <sz val="14"/>
      <color indexed="10"/>
      <name val="TH SarabunIT๙"/>
      <family val="2"/>
    </font>
    <font>
      <sz val="14"/>
      <color indexed="10"/>
      <name val="TH SarabunIT๙"/>
      <family val="2"/>
    </font>
    <font>
      <sz val="10"/>
      <color theme="0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71E4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2" fillId="0" borderId="0" xfId="0" applyFont="1"/>
    <xf numFmtId="43" fontId="2" fillId="0" borderId="3" xfId="1" applyFont="1" applyBorder="1"/>
    <xf numFmtId="43" fontId="2" fillId="0" borderId="4" xfId="1" applyFont="1" applyBorder="1"/>
    <xf numFmtId="43" fontId="3" fillId="5" borderId="4" xfId="1" applyFont="1" applyFill="1" applyBorder="1"/>
    <xf numFmtId="43" fontId="4" fillId="6" borderId="28" xfId="1" applyFont="1" applyFill="1" applyBorder="1"/>
    <xf numFmtId="43" fontId="2" fillId="0" borderId="31" xfId="1" applyFont="1" applyBorder="1"/>
    <xf numFmtId="43" fontId="2" fillId="0" borderId="4" xfId="0" applyNumberFormat="1" applyFont="1" applyBorder="1"/>
    <xf numFmtId="43" fontId="3" fillId="5" borderId="4" xfId="0" applyNumberFormat="1" applyFont="1" applyFill="1" applyBorder="1"/>
    <xf numFmtId="43" fontId="2" fillId="8" borderId="28" xfId="0" applyNumberFormat="1" applyFont="1" applyFill="1" applyBorder="1"/>
    <xf numFmtId="43" fontId="2" fillId="0" borderId="0" xfId="1" applyFont="1"/>
    <xf numFmtId="49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/>
    <xf numFmtId="0" fontId="2" fillId="0" borderId="24" xfId="0" applyFont="1" applyBorder="1"/>
    <xf numFmtId="0" fontId="2" fillId="0" borderId="5" xfId="0" applyFont="1" applyBorder="1"/>
    <xf numFmtId="0" fontId="2" fillId="0" borderId="25" xfId="0" applyFont="1" applyBorder="1"/>
    <xf numFmtId="0" fontId="6" fillId="5" borderId="5" xfId="0" applyFont="1" applyFill="1" applyBorder="1"/>
    <xf numFmtId="0" fontId="3" fillId="5" borderId="25" xfId="0" applyFont="1" applyFill="1" applyBorder="1"/>
    <xf numFmtId="0" fontId="3" fillId="0" borderId="0" xfId="0" applyFont="1" applyFill="1"/>
    <xf numFmtId="43" fontId="3" fillId="0" borderId="0" xfId="1" applyFont="1" applyFill="1"/>
    <xf numFmtId="0" fontId="3" fillId="5" borderId="0" xfId="0" applyFont="1" applyFill="1"/>
    <xf numFmtId="0" fontId="4" fillId="0" borderId="0" xfId="0" applyFont="1" applyFill="1"/>
    <xf numFmtId="43" fontId="4" fillId="0" borderId="0" xfId="1" applyFont="1" applyFill="1"/>
    <xf numFmtId="0" fontId="4" fillId="6" borderId="0" xfId="0" applyFont="1" applyFill="1"/>
    <xf numFmtId="0" fontId="5" fillId="0" borderId="5" xfId="0" applyFont="1" applyBorder="1"/>
    <xf numFmtId="43" fontId="3" fillId="5" borderId="0" xfId="1" applyFont="1" applyFill="1"/>
    <xf numFmtId="43" fontId="4" fillId="6" borderId="0" xfId="1" applyFont="1" applyFill="1"/>
    <xf numFmtId="0" fontId="7" fillId="6" borderId="26" xfId="0" applyFont="1" applyFill="1" applyBorder="1"/>
    <xf numFmtId="0" fontId="4" fillId="6" borderId="27" xfId="0" applyFont="1" applyFill="1" applyBorder="1"/>
    <xf numFmtId="0" fontId="5" fillId="0" borderId="29" xfId="0" applyFont="1" applyBorder="1"/>
    <xf numFmtId="0" fontId="2" fillId="0" borderId="30" xfId="0" applyFont="1" applyBorder="1"/>
    <xf numFmtId="0" fontId="2" fillId="0" borderId="0" xfId="0" applyFont="1" applyFill="1"/>
    <xf numFmtId="43" fontId="2" fillId="0" borderId="0" xfId="1" applyFont="1" applyFill="1"/>
    <xf numFmtId="0" fontId="2" fillId="7" borderId="0" xfId="0" applyFont="1" applyFill="1"/>
    <xf numFmtId="0" fontId="2" fillId="8" borderId="26" xfId="0" applyFont="1" applyFill="1" applyBorder="1"/>
    <xf numFmtId="0" fontId="5" fillId="8" borderId="27" xfId="0" applyFont="1" applyFill="1" applyBorder="1"/>
    <xf numFmtId="0" fontId="2" fillId="8" borderId="0" xfId="0" applyFont="1" applyFill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25" xfId="0" applyFont="1" applyBorder="1"/>
    <xf numFmtId="0" fontId="9" fillId="0" borderId="25" xfId="0" applyFont="1" applyBorder="1"/>
    <xf numFmtId="0" fontId="10" fillId="0" borderId="25" xfId="0" applyFont="1" applyBorder="1"/>
    <xf numFmtId="0" fontId="2" fillId="7" borderId="29" xfId="0" applyFont="1" applyFill="1" applyBorder="1"/>
    <xf numFmtId="0" fontId="5" fillId="7" borderId="30" xfId="0" applyFont="1" applyFill="1" applyBorder="1"/>
    <xf numFmtId="43" fontId="2" fillId="7" borderId="31" xfId="0" applyNumberFormat="1" applyFont="1" applyFill="1" applyBorder="1"/>
    <xf numFmtId="43" fontId="4" fillId="6" borderId="28" xfId="0" applyNumberFormat="1" applyFont="1" applyFill="1" applyBorder="1"/>
    <xf numFmtId="0" fontId="12" fillId="0" borderId="0" xfId="0" applyFont="1"/>
    <xf numFmtId="0" fontId="13" fillId="0" borderId="0" xfId="0" applyFont="1" applyAlignment="1">
      <alignment horizontal="center"/>
    </xf>
    <xf numFmtId="4" fontId="12" fillId="0" borderId="0" xfId="0" applyNumberFormat="1" applyFont="1"/>
    <xf numFmtId="0" fontId="16" fillId="0" borderId="0" xfId="0" applyFont="1"/>
    <xf numFmtId="0" fontId="14" fillId="0" borderId="0" xfId="0" applyFont="1"/>
    <xf numFmtId="187" fontId="15" fillId="0" borderId="8" xfId="1" applyNumberFormat="1" applyFont="1" applyBorder="1"/>
    <xf numFmtId="0" fontId="15" fillId="0" borderId="0" xfId="0" applyFont="1"/>
    <xf numFmtId="187" fontId="15" fillId="0" borderId="10" xfId="1" applyNumberFormat="1" applyFont="1" applyBorder="1" applyAlignment="1">
      <alignment horizontal="center" vertical="center"/>
    </xf>
    <xf numFmtId="187" fontId="15" fillId="0" borderId="11" xfId="1" applyNumberFormat="1" applyFont="1" applyBorder="1" applyAlignment="1">
      <alignment horizontal="center" vertical="center"/>
    </xf>
    <xf numFmtId="187" fontId="15" fillId="0" borderId="12" xfId="1" applyNumberFormat="1" applyFont="1" applyBorder="1" applyAlignment="1">
      <alignment horizontal="center" vertical="center"/>
    </xf>
    <xf numFmtId="187" fontId="15" fillId="0" borderId="8" xfId="1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4" fillId="0" borderId="0" xfId="0" applyFont="1" applyBorder="1"/>
    <xf numFmtId="43" fontId="12" fillId="0" borderId="0" xfId="0" applyNumberFormat="1" applyFont="1"/>
    <xf numFmtId="0" fontId="17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188" fontId="14" fillId="0" borderId="4" xfId="1" applyNumberFormat="1" applyFont="1" applyBorder="1" applyAlignment="1">
      <alignment horizontal="center" vertical="center"/>
    </xf>
    <xf numFmtId="41" fontId="14" fillId="0" borderId="3" xfId="1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49" fontId="14" fillId="0" borderId="4" xfId="0" applyNumberFormat="1" applyFont="1" applyBorder="1" applyAlignment="1">
      <alignment horizontal="center" vertical="center"/>
    </xf>
    <xf numFmtId="188" fontId="14" fillId="0" borderId="4" xfId="1" applyNumberFormat="1" applyFont="1" applyBorder="1" applyAlignment="1">
      <alignment vertical="center"/>
    </xf>
    <xf numFmtId="41" fontId="14" fillId="0" borderId="4" xfId="1" applyNumberFormat="1" applyFont="1" applyBorder="1" applyAlignment="1">
      <alignment vertical="center"/>
    </xf>
    <xf numFmtId="188" fontId="14" fillId="0" borderId="4" xfId="1" applyNumberFormat="1" applyFont="1" applyBorder="1" applyAlignment="1">
      <alignment horizontal="right" vertical="center"/>
    </xf>
    <xf numFmtId="41" fontId="14" fillId="0" borderId="4" xfId="1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9" fillId="0" borderId="0" xfId="0" applyFont="1"/>
    <xf numFmtId="0" fontId="21" fillId="0" borderId="0" xfId="0" applyFont="1"/>
    <xf numFmtId="49" fontId="14" fillId="0" borderId="4" xfId="0" applyNumberFormat="1" applyFont="1" applyBorder="1" applyAlignment="1">
      <alignment horizontal="justify" vertical="center"/>
    </xf>
    <xf numFmtId="188" fontId="14" fillId="0" borderId="4" xfId="1" applyNumberFormat="1" applyFont="1" applyFill="1" applyBorder="1" applyAlignment="1">
      <alignment horizontal="center" vertical="center"/>
    </xf>
    <xf numFmtId="188" fontId="16" fillId="0" borderId="0" xfId="0" applyNumberFormat="1" applyFont="1"/>
    <xf numFmtId="43" fontId="16" fillId="0" borderId="0" xfId="0" applyNumberFormat="1" applyFont="1"/>
    <xf numFmtId="0" fontId="22" fillId="0" borderId="0" xfId="0" applyFont="1"/>
    <xf numFmtId="187" fontId="14" fillId="0" borderId="4" xfId="1" applyNumberFormat="1" applyFont="1" applyBorder="1" applyAlignment="1">
      <alignment horizontal="center" vertical="center"/>
    </xf>
    <xf numFmtId="187" fontId="14" fillId="0" borderId="4" xfId="1" applyNumberFormat="1" applyFont="1" applyFill="1" applyBorder="1" applyAlignment="1">
      <alignment horizontal="center" vertical="center"/>
    </xf>
    <xf numFmtId="41" fontId="14" fillId="0" borderId="5" xfId="1" applyNumberFormat="1" applyFont="1" applyBorder="1" applyAlignment="1">
      <alignment vertical="center"/>
    </xf>
    <xf numFmtId="187" fontId="14" fillId="0" borderId="5" xfId="1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188" fontId="17" fillId="0" borderId="8" xfId="1" applyNumberFormat="1" applyFont="1" applyBorder="1" applyAlignment="1">
      <alignment vertical="center"/>
    </xf>
    <xf numFmtId="0" fontId="17" fillId="9" borderId="1" xfId="0" applyFont="1" applyFill="1" applyBorder="1"/>
    <xf numFmtId="0" fontId="17" fillId="9" borderId="9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center"/>
    </xf>
    <xf numFmtId="0" fontId="16" fillId="0" borderId="10" xfId="0" applyFont="1" applyBorder="1"/>
    <xf numFmtId="0" fontId="16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4" fontId="16" fillId="0" borderId="11" xfId="0" applyNumberFormat="1" applyFont="1" applyBorder="1"/>
    <xf numFmtId="0" fontId="23" fillId="0" borderId="11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11" xfId="0" applyFont="1" applyBorder="1"/>
    <xf numFmtId="43" fontId="16" fillId="0" borderId="0" xfId="1" applyFont="1" applyBorder="1" applyAlignment="1">
      <alignment horizontal="center"/>
    </xf>
    <xf numFmtId="4" fontId="16" fillId="0" borderId="11" xfId="1" applyNumberFormat="1" applyFont="1" applyBorder="1"/>
    <xf numFmtId="49" fontId="16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" fontId="11" fillId="0" borderId="1" xfId="1" applyNumberFormat="1" applyFont="1" applyBorder="1"/>
    <xf numFmtId="0" fontId="12" fillId="0" borderId="0" xfId="0" applyNumberFormat="1" applyFont="1"/>
    <xf numFmtId="4" fontId="16" fillId="0" borderId="11" xfId="1" applyNumberFormat="1" applyFont="1" applyBorder="1" applyAlignment="1">
      <alignment horizontal="right"/>
    </xf>
    <xf numFmtId="0" fontId="16" fillId="0" borderId="0" xfId="0" applyFont="1" applyBorder="1"/>
    <xf numFmtId="43" fontId="16" fillId="0" borderId="0" xfId="1" applyFont="1" applyBorder="1"/>
    <xf numFmtId="4" fontId="16" fillId="0" borderId="11" xfId="0" applyNumberFormat="1" applyFont="1" applyBorder="1" applyAlignment="1">
      <alignment horizontal="right"/>
    </xf>
    <xf numFmtId="43" fontId="16" fillId="0" borderId="10" xfId="1" applyFont="1" applyBorder="1" applyAlignment="1">
      <alignment horizontal="center"/>
    </xf>
    <xf numFmtId="4" fontId="11" fillId="0" borderId="10" xfId="1" applyNumberFormat="1" applyFont="1" applyBorder="1"/>
    <xf numFmtId="0" fontId="16" fillId="0" borderId="11" xfId="0" applyFont="1" applyBorder="1" applyAlignment="1">
      <alignment horizontal="left"/>
    </xf>
    <xf numFmtId="43" fontId="16" fillId="0" borderId="11" xfId="1" applyFont="1" applyBorder="1" applyAlignment="1">
      <alignment horizontal="center"/>
    </xf>
    <xf numFmtId="0" fontId="16" fillId="0" borderId="13" xfId="0" applyFont="1" applyBorder="1"/>
    <xf numFmtId="0" fontId="11" fillId="0" borderId="34" xfId="0" applyFont="1" applyBorder="1" applyAlignment="1">
      <alignment horizontal="center"/>
    </xf>
    <xf numFmtId="0" fontId="16" fillId="0" borderId="34" xfId="0" applyFont="1" applyBorder="1"/>
    <xf numFmtId="43" fontId="16" fillId="0" borderId="34" xfId="1" applyFont="1" applyBorder="1" applyAlignment="1">
      <alignment horizontal="center"/>
    </xf>
    <xf numFmtId="4" fontId="11" fillId="0" borderId="34" xfId="1" applyNumberFormat="1" applyFont="1" applyBorder="1"/>
    <xf numFmtId="4" fontId="11" fillId="0" borderId="0" xfId="1" applyNumberFormat="1" applyFont="1" applyBorder="1"/>
    <xf numFmtId="3" fontId="11" fillId="0" borderId="1" xfId="0" applyNumberFormat="1" applyFont="1" applyBorder="1" applyAlignment="1">
      <alignment horizontal="center" vertical="top" wrapText="1"/>
    </xf>
    <xf numFmtId="0" fontId="11" fillId="0" borderId="11" xfId="0" applyFont="1" applyBorder="1"/>
    <xf numFmtId="4" fontId="16" fillId="0" borderId="13" xfId="0" applyNumberFormat="1" applyFont="1" applyBorder="1" applyAlignment="1">
      <alignment horizontal="right"/>
    </xf>
    <xf numFmtId="4" fontId="16" fillId="0" borderId="13" xfId="1" applyNumberFormat="1" applyFont="1" applyBorder="1"/>
    <xf numFmtId="4" fontId="16" fillId="0" borderId="13" xfId="1" applyNumberFormat="1" applyFont="1" applyBorder="1" applyAlignment="1">
      <alignment horizontal="right"/>
    </xf>
    <xf numFmtId="4" fontId="16" fillId="0" borderId="17" xfId="1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 vertical="top" wrapText="1"/>
    </xf>
    <xf numFmtId="3" fontId="11" fillId="0" borderId="12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187" fontId="15" fillId="0" borderId="10" xfId="1" applyNumberFormat="1" applyFont="1" applyBorder="1"/>
    <xf numFmtId="43" fontId="14" fillId="0" borderId="0" xfId="1" applyFont="1"/>
    <xf numFmtId="43" fontId="15" fillId="4" borderId="1" xfId="1" applyFont="1" applyFill="1" applyBorder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12" fillId="0" borderId="0" xfId="1" applyFont="1"/>
    <xf numFmtId="43" fontId="15" fillId="0" borderId="0" xfId="1" applyFont="1"/>
    <xf numFmtId="0" fontId="1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3" fontId="2" fillId="0" borderId="0" xfId="0" applyNumberFormat="1" applyFont="1" applyFill="1"/>
    <xf numFmtId="43" fontId="25" fillId="6" borderId="28" xfId="0" applyNumberFormat="1" applyFont="1" applyFill="1" applyBorder="1"/>
    <xf numFmtId="43" fontId="26" fillId="6" borderId="28" xfId="0" applyNumberFormat="1" applyFont="1" applyFill="1" applyBorder="1"/>
    <xf numFmtId="43" fontId="19" fillId="0" borderId="0" xfId="1" applyFont="1"/>
    <xf numFmtId="43" fontId="16" fillId="0" borderId="0" xfId="1" applyFont="1"/>
    <xf numFmtId="49" fontId="2" fillId="0" borderId="1" xfId="0" applyNumberFormat="1" applyFont="1" applyBorder="1" applyAlignment="1">
      <alignment horizontal="center"/>
    </xf>
    <xf numFmtId="43" fontId="19" fillId="0" borderId="0" xfId="0" applyNumberFormat="1" applyFont="1"/>
    <xf numFmtId="43" fontId="17" fillId="9" borderId="1" xfId="1" applyFont="1" applyFill="1" applyBorder="1" applyAlignment="1">
      <alignment horizontal="center"/>
    </xf>
    <xf numFmtId="43" fontId="11" fillId="0" borderId="11" xfId="1" applyFont="1" applyBorder="1"/>
    <xf numFmtId="43" fontId="16" fillId="0" borderId="11" xfId="1" applyFont="1" applyBorder="1"/>
    <xf numFmtId="43" fontId="16" fillId="0" borderId="13" xfId="1" applyFont="1" applyBorder="1"/>
    <xf numFmtId="43" fontId="16" fillId="0" borderId="6" xfId="1" applyFont="1" applyBorder="1"/>
    <xf numFmtId="43" fontId="11" fillId="0" borderId="1" xfId="1" applyFont="1" applyBorder="1"/>
    <xf numFmtId="43" fontId="11" fillId="0" borderId="13" xfId="1" applyFont="1" applyBorder="1"/>
    <xf numFmtId="43" fontId="16" fillId="0" borderId="11" xfId="1" applyFont="1" applyBorder="1" applyAlignment="1">
      <alignment horizontal="right"/>
    </xf>
    <xf numFmtId="43" fontId="11" fillId="0" borderId="1" xfId="1" applyFont="1" applyBorder="1" applyAlignment="1">
      <alignment horizontal="right"/>
    </xf>
    <xf numFmtId="43" fontId="11" fillId="0" borderId="33" xfId="1" applyFont="1" applyBorder="1"/>
    <xf numFmtId="43" fontId="11" fillId="0" borderId="10" xfId="1" applyFont="1" applyBorder="1"/>
    <xf numFmtId="43" fontId="11" fillId="0" borderId="34" xfId="1" applyFont="1" applyBorder="1"/>
    <xf numFmtId="43" fontId="11" fillId="0" borderId="0" xfId="1" applyFont="1" applyBorder="1"/>
    <xf numFmtId="43" fontId="11" fillId="0" borderId="6" xfId="1" applyFont="1" applyBorder="1"/>
    <xf numFmtId="43" fontId="16" fillId="0" borderId="6" xfId="1" applyFont="1" applyBorder="1" applyAlignment="1">
      <alignment horizontal="right"/>
    </xf>
    <xf numFmtId="43" fontId="16" fillId="0" borderId="12" xfId="1" applyFont="1" applyBorder="1"/>
    <xf numFmtId="43" fontId="11" fillId="0" borderId="1" xfId="1" applyFont="1" applyBorder="1" applyAlignment="1">
      <alignment horizontal="center"/>
    </xf>
    <xf numFmtId="43" fontId="11" fillId="0" borderId="10" xfId="1" applyFont="1" applyBorder="1" applyAlignment="1">
      <alignment horizontal="center"/>
    </xf>
    <xf numFmtId="43" fontId="11" fillId="0" borderId="9" xfId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0" xfId="0" applyFont="1" applyFill="1" applyBorder="1"/>
    <xf numFmtId="49" fontId="13" fillId="2" borderId="10" xfId="0" applyNumberFormat="1" applyFont="1" applyFill="1" applyBorder="1" applyAlignment="1">
      <alignment horizontal="center"/>
    </xf>
    <xf numFmtId="187" fontId="13" fillId="2" borderId="1" xfId="1" applyNumberFormat="1" applyFont="1" applyFill="1" applyBorder="1" applyAlignment="1">
      <alignment horizontal="center"/>
    </xf>
    <xf numFmtId="187" fontId="13" fillId="2" borderId="11" xfId="1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87" fontId="13" fillId="2" borderId="12" xfId="1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horizontal="center"/>
    </xf>
    <xf numFmtId="187" fontId="13" fillId="0" borderId="10" xfId="1" applyNumberFormat="1" applyFont="1" applyBorder="1"/>
    <xf numFmtId="0" fontId="13" fillId="0" borderId="10" xfId="0" applyFont="1" applyBorder="1"/>
    <xf numFmtId="49" fontId="15" fillId="0" borderId="10" xfId="0" applyNumberFormat="1" applyFont="1" applyBorder="1" applyAlignment="1">
      <alignment horizontal="center"/>
    </xf>
    <xf numFmtId="43" fontId="15" fillId="3" borderId="1" xfId="1" applyFont="1" applyFill="1" applyBorder="1"/>
    <xf numFmtId="0" fontId="15" fillId="3" borderId="1" xfId="0" applyFont="1" applyFill="1" applyBorder="1"/>
    <xf numFmtId="187" fontId="15" fillId="0" borderId="11" xfId="1" applyNumberFormat="1" applyFont="1" applyBorder="1"/>
    <xf numFmtId="187" fontId="15" fillId="0" borderId="11" xfId="1" applyNumberFormat="1" applyFont="1" applyBorder="1" applyAlignment="1">
      <alignment horizontal="right"/>
    </xf>
    <xf numFmtId="0" fontId="27" fillId="0" borderId="11" xfId="0" applyFont="1" applyBorder="1"/>
    <xf numFmtId="49" fontId="15" fillId="0" borderId="11" xfId="0" applyNumberFormat="1" applyFont="1" applyBorder="1" applyAlignment="1">
      <alignment horizontal="center"/>
    </xf>
    <xf numFmtId="43" fontId="15" fillId="4" borderId="1" xfId="1" applyFont="1" applyFill="1" applyBorder="1"/>
    <xf numFmtId="0" fontId="15" fillId="4" borderId="1" xfId="0" applyFont="1" applyFill="1" applyBorder="1"/>
    <xf numFmtId="187" fontId="15" fillId="0" borderId="11" xfId="1" applyNumberFormat="1" applyFont="1" applyFill="1" applyBorder="1"/>
    <xf numFmtId="0" fontId="15" fillId="0" borderId="11" xfId="0" applyFont="1" applyBorder="1"/>
    <xf numFmtId="187" fontId="15" fillId="0" borderId="0" xfId="0" applyNumberFormat="1" applyFont="1"/>
    <xf numFmtId="43" fontId="15" fillId="0" borderId="0" xfId="0" applyNumberFormat="1" applyFont="1"/>
    <xf numFmtId="187" fontId="13" fillId="0" borderId="8" xfId="1" applyNumberFormat="1" applyFont="1" applyBorder="1"/>
    <xf numFmtId="187" fontId="15" fillId="0" borderId="0" xfId="1" applyNumberFormat="1" applyFont="1"/>
    <xf numFmtId="187" fontId="15" fillId="4" borderId="1" xfId="0" applyNumberFormat="1" applyFont="1" applyFill="1" applyBorder="1"/>
    <xf numFmtId="0" fontId="15" fillId="0" borderId="0" xfId="0" applyFont="1" applyAlignment="1">
      <alignment horizontal="left"/>
    </xf>
    <xf numFmtId="187" fontId="13" fillId="0" borderId="11" xfId="1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center"/>
    </xf>
    <xf numFmtId="187" fontId="13" fillId="0" borderId="1" xfId="1" applyNumberFormat="1" applyFont="1" applyBorder="1"/>
    <xf numFmtId="49" fontId="15" fillId="0" borderId="6" xfId="0" applyNumberFormat="1" applyFont="1" applyBorder="1" applyAlignment="1">
      <alignment horizontal="center"/>
    </xf>
    <xf numFmtId="187" fontId="13" fillId="0" borderId="0" xfId="1" applyNumberFormat="1" applyFont="1" applyBorder="1"/>
    <xf numFmtId="49" fontId="15" fillId="0" borderId="0" xfId="0" applyNumberFormat="1" applyFont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187" fontId="13" fillId="2" borderId="12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87" fontId="13" fillId="2" borderId="11" xfId="1" applyNumberFormat="1" applyFont="1" applyFill="1" applyBorder="1" applyAlignment="1">
      <alignment horizontal="center" vertical="center"/>
    </xf>
    <xf numFmtId="43" fontId="15" fillId="3" borderId="1" xfId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87" fontId="15" fillId="0" borderId="0" xfId="0" applyNumberFormat="1" applyFont="1" applyAlignment="1">
      <alignment horizontal="center" vertical="center"/>
    </xf>
    <xf numFmtId="43" fontId="15" fillId="4" borderId="1" xfId="1" applyNumberFormat="1" applyFont="1" applyFill="1" applyBorder="1" applyAlignment="1">
      <alignment horizontal="center" vertical="center"/>
    </xf>
    <xf numFmtId="187" fontId="13" fillId="0" borderId="14" xfId="1" applyNumberFormat="1" applyFont="1" applyBorder="1" applyAlignment="1">
      <alignment horizontal="center" vertical="center"/>
    </xf>
    <xf numFmtId="187" fontId="13" fillId="0" borderId="8" xfId="1" applyNumberFormat="1" applyFont="1" applyBorder="1" applyAlignment="1">
      <alignment horizontal="center" vertical="center"/>
    </xf>
    <xf numFmtId="187" fontId="15" fillId="0" borderId="0" xfId="1" applyNumberFormat="1" applyFont="1" applyAlignment="1">
      <alignment horizontal="center" vertical="center"/>
    </xf>
    <xf numFmtId="187" fontId="15" fillId="4" borderId="1" xfId="0" applyNumberFormat="1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3" fontId="29" fillId="4" borderId="1" xfId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187" fontId="13" fillId="0" borderId="1" xfId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87" fontId="30" fillId="0" borderId="11" xfId="1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0" fontId="30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4" fillId="0" borderId="0" xfId="0" applyFont="1"/>
    <xf numFmtId="43" fontId="24" fillId="0" borderId="0" xfId="1" applyFont="1"/>
    <xf numFmtId="43" fontId="24" fillId="0" borderId="0" xfId="0" applyNumberFormat="1" applyFont="1"/>
    <xf numFmtId="0" fontId="13" fillId="2" borderId="10" xfId="0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187" fontId="13" fillId="2" borderId="1" xfId="1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right"/>
    </xf>
    <xf numFmtId="43" fontId="11" fillId="0" borderId="37" xfId="1" applyFont="1" applyBorder="1" applyAlignment="1">
      <alignment horizontal="center"/>
    </xf>
    <xf numFmtId="4" fontId="11" fillId="0" borderId="36" xfId="0" applyNumberFormat="1" applyFont="1" applyBorder="1" applyAlignment="1">
      <alignment horizontal="right"/>
    </xf>
    <xf numFmtId="43" fontId="11" fillId="0" borderId="17" xfId="1" applyFont="1" applyBorder="1" applyAlignment="1">
      <alignment horizontal="center"/>
    </xf>
    <xf numFmtId="43" fontId="32" fillId="0" borderId="0" xfId="0" applyNumberFormat="1" applyFont="1"/>
    <xf numFmtId="187" fontId="20" fillId="0" borderId="0" xfId="1" applyNumberFormat="1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187" fontId="13" fillId="2" borderId="35" xfId="1" applyNumberFormat="1" applyFont="1" applyFill="1" applyBorder="1" applyAlignment="1">
      <alignment horizontal="center" vertical="center"/>
    </xf>
    <xf numFmtId="187" fontId="13" fillId="2" borderId="32" xfId="1" applyNumberFormat="1" applyFont="1" applyFill="1" applyBorder="1" applyAlignment="1">
      <alignment horizontal="center" vertical="center"/>
    </xf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Alignment="1">
      <alignment horizontal="center"/>
    </xf>
    <xf numFmtId="187" fontId="13" fillId="0" borderId="15" xfId="1" applyNumberFormat="1" applyFont="1" applyBorder="1" applyAlignment="1">
      <alignment horizontal="right"/>
    </xf>
    <xf numFmtId="187" fontId="13" fillId="2" borderId="1" xfId="1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B40" zoomScale="150" zoomScaleNormal="150" workbookViewId="0">
      <selection activeCell="D49" sqref="D49"/>
    </sheetView>
  </sheetViews>
  <sheetFormatPr defaultRowHeight="17.25" customHeight="1"/>
  <cols>
    <col min="1" max="1" width="46.375" style="52" customWidth="1"/>
    <col min="2" max="2" width="9" style="52"/>
    <col min="3" max="3" width="17" style="52" customWidth="1"/>
    <col min="4" max="4" width="16.25" style="52" customWidth="1"/>
    <col min="5" max="5" width="14.375" style="52" hidden="1" customWidth="1"/>
    <col min="6" max="6" width="15.25" style="146" hidden="1" customWidth="1"/>
    <col min="7" max="9" width="0" style="52" hidden="1" customWidth="1"/>
    <col min="10" max="16384" width="9" style="52"/>
  </cols>
  <sheetData>
    <row r="1" spans="1:11" ht="21" customHeight="1">
      <c r="A1" s="248" t="s">
        <v>45</v>
      </c>
      <c r="B1" s="248"/>
      <c r="C1" s="248"/>
      <c r="D1" s="248"/>
      <c r="E1" s="53"/>
      <c r="F1" s="134"/>
    </row>
    <row r="2" spans="1:11" ht="17.25" customHeight="1">
      <c r="A2" s="249" t="s">
        <v>0</v>
      </c>
      <c r="B2" s="249"/>
      <c r="C2" s="249"/>
      <c r="D2" s="249"/>
      <c r="E2" s="53"/>
      <c r="F2" s="134"/>
    </row>
    <row r="3" spans="1:11" ht="17.25" customHeight="1">
      <c r="A3" s="250" t="s">
        <v>405</v>
      </c>
      <c r="B3" s="250"/>
      <c r="C3" s="250"/>
      <c r="D3" s="250"/>
      <c r="E3" s="53"/>
      <c r="F3" s="134"/>
    </row>
    <row r="4" spans="1:11" ht="17.25" customHeight="1">
      <c r="A4" s="64" t="s">
        <v>1</v>
      </c>
      <c r="B4" s="64" t="s">
        <v>2</v>
      </c>
      <c r="C4" s="64" t="s">
        <v>3</v>
      </c>
      <c r="D4" s="64" t="s">
        <v>4</v>
      </c>
      <c r="E4" s="53"/>
      <c r="F4" s="134"/>
    </row>
    <row r="5" spans="1:11" ht="17.25" customHeight="1">
      <c r="A5" s="65" t="s">
        <v>5</v>
      </c>
      <c r="B5" s="66" t="s">
        <v>6</v>
      </c>
      <c r="C5" s="67">
        <v>139.4</v>
      </c>
      <c r="D5" s="68"/>
      <c r="E5" s="53"/>
      <c r="F5" s="134"/>
    </row>
    <row r="6" spans="1:11" ht="17.25" customHeight="1">
      <c r="A6" s="69" t="s">
        <v>7</v>
      </c>
      <c r="B6" s="70" t="s">
        <v>8</v>
      </c>
      <c r="C6" s="71">
        <v>987815.69</v>
      </c>
      <c r="D6" s="72"/>
      <c r="E6" s="53"/>
      <c r="F6" s="134"/>
    </row>
    <row r="7" spans="1:11" ht="17.25" customHeight="1">
      <c r="A7" s="69" t="s">
        <v>9</v>
      </c>
      <c r="B7" s="70" t="s">
        <v>259</v>
      </c>
      <c r="C7" s="71">
        <v>404220.93</v>
      </c>
      <c r="D7" s="72"/>
      <c r="E7" s="53"/>
      <c r="F7" s="134"/>
    </row>
    <row r="8" spans="1:11" ht="17.25" customHeight="1">
      <c r="A8" s="69" t="s">
        <v>10</v>
      </c>
      <c r="B8" s="70" t="s">
        <v>11</v>
      </c>
      <c r="C8" s="73">
        <v>13343523.119999999</v>
      </c>
      <c r="D8" s="72"/>
      <c r="E8" s="53"/>
      <c r="F8" s="134">
        <f>SUM(C14+C17+C19+C21)</f>
        <v>1825305</v>
      </c>
    </row>
    <row r="9" spans="1:11" ht="17.25" customHeight="1">
      <c r="A9" s="69" t="s">
        <v>330</v>
      </c>
      <c r="B9" s="70" t="s">
        <v>331</v>
      </c>
      <c r="C9" s="73">
        <f>447700.67+154451.79</f>
        <v>602152.46</v>
      </c>
      <c r="D9" s="72"/>
      <c r="E9" s="53"/>
      <c r="F9" s="134"/>
    </row>
    <row r="10" spans="1:11" ht="17.25" customHeight="1">
      <c r="A10" s="69" t="s">
        <v>287</v>
      </c>
      <c r="B10" s="70" t="s">
        <v>265</v>
      </c>
      <c r="C10" s="67">
        <f>215997-32588+33980-29766+36218+28464-30784</f>
        <v>221521</v>
      </c>
      <c r="D10" s="74"/>
      <c r="E10" s="53"/>
      <c r="F10" s="134"/>
    </row>
    <row r="11" spans="1:11" ht="17.25" customHeight="1">
      <c r="A11" s="69" t="s">
        <v>317</v>
      </c>
      <c r="B11" s="70" t="s">
        <v>266</v>
      </c>
      <c r="C11" s="67">
        <f>15760-14960-320+15280-14720</f>
        <v>1040</v>
      </c>
      <c r="D11" s="74"/>
      <c r="E11" s="53"/>
      <c r="F11" s="134"/>
    </row>
    <row r="12" spans="1:11" ht="17.25" customHeight="1">
      <c r="A12" s="75" t="s">
        <v>13</v>
      </c>
      <c r="B12" s="70"/>
      <c r="C12" s="67"/>
      <c r="D12" s="72"/>
      <c r="E12" s="53"/>
      <c r="F12" s="134">
        <f>SUM(C17+C19)</f>
        <v>446730</v>
      </c>
    </row>
    <row r="13" spans="1:11" ht="17.25" customHeight="1">
      <c r="A13" s="69" t="s">
        <v>163</v>
      </c>
      <c r="B13" s="70" t="s">
        <v>260</v>
      </c>
      <c r="C13" s="79">
        <f>1000+8030+8580+273990+2109.63+7580+1000</f>
        <v>302289.63</v>
      </c>
      <c r="D13" s="72"/>
      <c r="E13" s="76"/>
      <c r="F13" s="145"/>
    </row>
    <row r="14" spans="1:11" ht="17.25" customHeight="1">
      <c r="A14" s="69" t="s">
        <v>354</v>
      </c>
      <c r="B14" s="70" t="s">
        <v>387</v>
      </c>
      <c r="C14" s="79">
        <f>919850+1090+44500+410300+2835</f>
        <v>1378575</v>
      </c>
      <c r="D14" s="72"/>
      <c r="E14" s="148">
        <f>SUM(C14+C17+C19+C21+C23)</f>
        <v>1825305</v>
      </c>
      <c r="F14" s="145">
        <f>SUM(C14-5493260)</f>
        <v>-4114685</v>
      </c>
    </row>
    <row r="15" spans="1:11" ht="17.25" customHeight="1">
      <c r="A15" s="69" t="s">
        <v>14</v>
      </c>
      <c r="B15" s="70" t="s">
        <v>15</v>
      </c>
      <c r="C15" s="79">
        <f>218720+218720+218720</f>
        <v>656160</v>
      </c>
      <c r="D15" s="72"/>
      <c r="E15" s="76"/>
      <c r="F15" s="145"/>
    </row>
    <row r="16" spans="1:11" ht="17.25" customHeight="1">
      <c r="A16" s="69" t="s">
        <v>17</v>
      </c>
      <c r="B16" s="70" t="s">
        <v>18</v>
      </c>
      <c r="C16" s="79">
        <f>234435+30000+161450+439845+246094+32990+152450</f>
        <v>1297264</v>
      </c>
      <c r="D16" s="72"/>
      <c r="E16" s="76"/>
      <c r="F16" s="145"/>
      <c r="G16" s="77"/>
      <c r="H16" s="77"/>
      <c r="I16" s="77"/>
      <c r="J16" s="77"/>
      <c r="K16" s="77"/>
    </row>
    <row r="17" spans="1:11" ht="17.25" customHeight="1">
      <c r="A17" s="69" t="s">
        <v>355</v>
      </c>
      <c r="B17" s="70" t="s">
        <v>388</v>
      </c>
      <c r="C17" s="79">
        <f>297820+92210+56700</f>
        <v>446730</v>
      </c>
      <c r="D17" s="72"/>
      <c r="E17" s="76"/>
      <c r="F17" s="145">
        <f>SUM(F14-F15)</f>
        <v>-4114685</v>
      </c>
      <c r="G17" s="77"/>
      <c r="H17" s="77"/>
      <c r="I17" s="77"/>
      <c r="J17" s="77"/>
      <c r="K17" s="77"/>
    </row>
    <row r="18" spans="1:11" ht="17.25" customHeight="1">
      <c r="A18" s="69" t="s">
        <v>19</v>
      </c>
      <c r="B18" s="70" t="s">
        <v>20</v>
      </c>
      <c r="C18" s="79">
        <f>12000+15800+17502</f>
        <v>45302</v>
      </c>
      <c r="D18" s="72"/>
      <c r="E18" s="148" t="e">
        <f>SUM(#REF!+D35+#REF!+D36+D37+D38+D40+D41)</f>
        <v>#REF!</v>
      </c>
      <c r="F18" s="145"/>
    </row>
    <row r="19" spans="1:11" ht="17.25" customHeight="1">
      <c r="A19" s="69" t="s">
        <v>356</v>
      </c>
      <c r="B19" s="70" t="s">
        <v>389</v>
      </c>
      <c r="C19" s="79"/>
      <c r="D19" s="72"/>
      <c r="E19" s="76"/>
      <c r="F19" s="145">
        <f>(C20-2327646.49)</f>
        <v>-1251744.4900000002</v>
      </c>
    </row>
    <row r="20" spans="1:11" ht="17.25" customHeight="1">
      <c r="A20" s="78" t="s">
        <v>21</v>
      </c>
      <c r="B20" s="70" t="s">
        <v>22</v>
      </c>
      <c r="C20" s="79">
        <f>14190+526888+206500+10500+317824</f>
        <v>1075902</v>
      </c>
      <c r="D20" s="72"/>
      <c r="E20" s="76"/>
      <c r="F20" s="145">
        <f>SUM(1239800+139500+2100+900)</f>
        <v>1382300</v>
      </c>
      <c r="J20" s="80"/>
    </row>
    <row r="21" spans="1:11" ht="17.25" customHeight="1">
      <c r="A21" s="78" t="s">
        <v>357</v>
      </c>
      <c r="B21" s="70" t="s">
        <v>390</v>
      </c>
      <c r="C21" s="79"/>
      <c r="D21" s="72"/>
      <c r="E21" s="148" t="e">
        <f>SUM(E14-E18)</f>
        <v>#REF!</v>
      </c>
      <c r="F21" s="145"/>
      <c r="J21" s="80"/>
    </row>
    <row r="22" spans="1:11" ht="17.25" customHeight="1">
      <c r="A22" s="69" t="s">
        <v>23</v>
      </c>
      <c r="B22" s="70" t="s">
        <v>24</v>
      </c>
      <c r="C22" s="79">
        <f>23972.5+23922.8</f>
        <v>47895.3</v>
      </c>
      <c r="D22" s="72"/>
      <c r="E22" s="76"/>
      <c r="F22" s="145">
        <f>405400+43000+2100+900</f>
        <v>451400</v>
      </c>
      <c r="G22" s="77"/>
      <c r="H22" s="77"/>
    </row>
    <row r="23" spans="1:11" ht="17.25" customHeight="1">
      <c r="A23" s="69" t="s">
        <v>358</v>
      </c>
      <c r="B23" s="70" t="s">
        <v>391</v>
      </c>
      <c r="C23" s="79"/>
      <c r="D23" s="72"/>
      <c r="E23" s="76"/>
      <c r="F23" s="145"/>
      <c r="G23" s="77"/>
      <c r="H23" s="77"/>
    </row>
    <row r="24" spans="1:11" ht="17.25" customHeight="1">
      <c r="A24" s="69" t="s">
        <v>25</v>
      </c>
      <c r="B24" s="70" t="s">
        <v>26</v>
      </c>
      <c r="C24" s="79">
        <f>20085.94+72373.78+56978.79+5.9</f>
        <v>149444.41</v>
      </c>
      <c r="D24" s="72"/>
      <c r="E24" s="53"/>
      <c r="F24" s="134">
        <f>SUM(F20-F22)</f>
        <v>930900</v>
      </c>
      <c r="I24" s="81"/>
    </row>
    <row r="25" spans="1:11" ht="17.25" customHeight="1">
      <c r="A25" s="69" t="s">
        <v>27</v>
      </c>
      <c r="B25" s="70" t="s">
        <v>28</v>
      </c>
      <c r="C25" s="79"/>
      <c r="D25" s="72"/>
      <c r="E25" s="53"/>
      <c r="F25" s="134">
        <f>SUM(F17-F24)</f>
        <v>-5045585</v>
      </c>
    </row>
    <row r="26" spans="1:11" ht="17.25" customHeight="1">
      <c r="A26" s="69" t="s">
        <v>29</v>
      </c>
      <c r="B26" s="70" t="s">
        <v>30</v>
      </c>
      <c r="C26" s="79"/>
      <c r="D26" s="72"/>
      <c r="E26" s="76"/>
      <c r="F26" s="145"/>
      <c r="G26" s="77"/>
      <c r="H26" s="77"/>
      <c r="I26" s="77"/>
      <c r="J26" s="77"/>
    </row>
    <row r="27" spans="1:11" ht="17.25" customHeight="1">
      <c r="A27" s="69" t="s">
        <v>31</v>
      </c>
      <c r="B27" s="70" t="s">
        <v>32</v>
      </c>
      <c r="C27" s="79"/>
      <c r="D27" s="72"/>
      <c r="E27" s="82"/>
      <c r="F27" s="134">
        <f>800+1500+800+1500</f>
        <v>4600</v>
      </c>
    </row>
    <row r="28" spans="1:11" ht="17.25" customHeight="1">
      <c r="A28" s="69" t="s">
        <v>33</v>
      </c>
      <c r="B28" s="70" t="s">
        <v>34</v>
      </c>
      <c r="C28" s="79"/>
      <c r="D28" s="72"/>
      <c r="E28" s="53"/>
      <c r="F28" s="134"/>
    </row>
    <row r="29" spans="1:11" ht="17.25" customHeight="1">
      <c r="A29" s="69" t="s">
        <v>321</v>
      </c>
      <c r="B29" s="70" t="s">
        <v>35</v>
      </c>
      <c r="C29" s="79"/>
      <c r="D29" s="72"/>
      <c r="E29" s="53"/>
      <c r="F29" s="134"/>
    </row>
    <row r="30" spans="1:11" ht="17.25" customHeight="1">
      <c r="A30" s="69" t="s">
        <v>359</v>
      </c>
      <c r="B30" s="70" t="s">
        <v>36</v>
      </c>
      <c r="C30" s="79"/>
      <c r="D30" s="83"/>
      <c r="E30" s="53" t="s">
        <v>37</v>
      </c>
      <c r="F30" s="134">
        <f>SUM(C13:C27)</f>
        <v>5399562.3399999999</v>
      </c>
    </row>
    <row r="31" spans="1:11" ht="17.25" customHeight="1">
      <c r="A31" s="69" t="s">
        <v>360</v>
      </c>
      <c r="B31" s="70" t="s">
        <v>36</v>
      </c>
      <c r="C31" s="79"/>
      <c r="D31" s="83"/>
      <c r="E31" s="53"/>
      <c r="F31" s="134"/>
    </row>
    <row r="32" spans="1:11" ht="17.25" customHeight="1">
      <c r="A32" s="69" t="s">
        <v>361</v>
      </c>
      <c r="B32" s="70" t="s">
        <v>36</v>
      </c>
      <c r="C32" s="67"/>
      <c r="D32" s="83"/>
      <c r="E32" s="53"/>
      <c r="F32" s="134"/>
    </row>
    <row r="33" spans="1:7" ht="17.25" customHeight="1">
      <c r="A33" s="69" t="s">
        <v>362</v>
      </c>
      <c r="B33" s="70" t="s">
        <v>36</v>
      </c>
      <c r="C33" s="67"/>
      <c r="D33" s="83"/>
      <c r="E33" s="76"/>
      <c r="F33" s="134"/>
    </row>
    <row r="34" spans="1:7" ht="17.25" customHeight="1">
      <c r="A34" s="69" t="s">
        <v>402</v>
      </c>
      <c r="B34" s="70" t="s">
        <v>392</v>
      </c>
      <c r="C34" s="67"/>
      <c r="D34" s="83">
        <v>1037219</v>
      </c>
      <c r="E34" s="53"/>
      <c r="G34" s="53"/>
    </row>
    <row r="35" spans="1:7" s="53" customFormat="1" ht="17.25" customHeight="1">
      <c r="A35" s="69" t="s">
        <v>385</v>
      </c>
      <c r="B35" s="70" t="s">
        <v>392</v>
      </c>
      <c r="C35" s="67"/>
      <c r="D35" s="83">
        <v>194650</v>
      </c>
      <c r="E35" s="62"/>
      <c r="F35" s="134">
        <f>SUM(D37-449500)</f>
        <v>-147100</v>
      </c>
    </row>
    <row r="36" spans="1:7" s="53" customFormat="1" ht="17.25" customHeight="1">
      <c r="A36" s="69" t="s">
        <v>363</v>
      </c>
      <c r="B36" s="70" t="s">
        <v>392</v>
      </c>
      <c r="C36" s="67"/>
      <c r="D36" s="84">
        <f>1278000+422800</f>
        <v>1700800</v>
      </c>
      <c r="F36" s="134"/>
    </row>
    <row r="37" spans="1:7" s="53" customFormat="1" ht="17.25" customHeight="1">
      <c r="A37" s="69" t="s">
        <v>342</v>
      </c>
      <c r="B37" s="70" t="s">
        <v>392</v>
      </c>
      <c r="C37" s="67"/>
      <c r="D37" s="84">
        <f>142500+159900</f>
        <v>302400</v>
      </c>
      <c r="F37" s="134">
        <f>SUM(D35:D41)</f>
        <v>2806355</v>
      </c>
    </row>
    <row r="38" spans="1:7" ht="17.25" customHeight="1">
      <c r="A38" s="69" t="s">
        <v>407</v>
      </c>
      <c r="B38" s="70" t="s">
        <v>392</v>
      </c>
      <c r="C38" s="67"/>
      <c r="D38" s="84">
        <v>150000</v>
      </c>
      <c r="E38" s="53"/>
      <c r="F38" s="134"/>
    </row>
    <row r="39" spans="1:7" ht="17.25" customHeight="1">
      <c r="A39" s="69" t="s">
        <v>364</v>
      </c>
      <c r="B39" s="70" t="s">
        <v>392</v>
      </c>
      <c r="C39" s="67"/>
      <c r="D39" s="84">
        <v>178605</v>
      </c>
      <c r="E39" s="53"/>
      <c r="F39" s="134"/>
    </row>
    <row r="40" spans="1:7" ht="17.25" customHeight="1">
      <c r="A40" s="69" t="s">
        <v>365</v>
      </c>
      <c r="B40" s="70" t="s">
        <v>392</v>
      </c>
      <c r="C40" s="67"/>
      <c r="D40" s="83">
        <v>276630</v>
      </c>
      <c r="E40" s="53"/>
      <c r="F40" s="134">
        <f>395460+732000</f>
        <v>1127460</v>
      </c>
    </row>
    <row r="41" spans="1:7" ht="17.25" customHeight="1">
      <c r="A41" s="69" t="s">
        <v>366</v>
      </c>
      <c r="B41" s="70" t="s">
        <v>392</v>
      </c>
      <c r="C41" s="67"/>
      <c r="D41" s="83">
        <v>3270</v>
      </c>
      <c r="E41" s="81"/>
      <c r="F41" s="146">
        <f>SUM(D40+D41+D35)</f>
        <v>474550</v>
      </c>
    </row>
    <row r="42" spans="1:7" ht="17.25" customHeight="1">
      <c r="A42" s="69" t="s">
        <v>263</v>
      </c>
      <c r="B42" s="70" t="s">
        <v>393</v>
      </c>
      <c r="C42" s="85"/>
      <c r="D42" s="67">
        <f>5618222.45-2982000+1000+447700.67-543000+1000+1000</f>
        <v>2543923.12</v>
      </c>
      <c r="E42" s="81"/>
    </row>
    <row r="43" spans="1:7" ht="17.25" customHeight="1">
      <c r="A43" s="69" t="s">
        <v>264</v>
      </c>
      <c r="B43" s="70" t="s">
        <v>42</v>
      </c>
      <c r="C43" s="86"/>
      <c r="D43" s="67">
        <v>8071746.9699999997</v>
      </c>
    </row>
    <row r="44" spans="1:7" ht="19.5" customHeight="1">
      <c r="A44" s="69" t="s">
        <v>332</v>
      </c>
      <c r="B44" s="70" t="s">
        <v>43</v>
      </c>
      <c r="C44" s="86"/>
      <c r="D44" s="79">
        <f>1016099.99+3127026.11-36830+36218+8148-1037219+2532314.34</f>
        <v>5645757.4399999995</v>
      </c>
      <c r="F44" s="146">
        <f>15511461.57+1996432.07</f>
        <v>17507893.640000001</v>
      </c>
    </row>
    <row r="45" spans="1:7" ht="18.75" customHeight="1">
      <c r="A45" s="69" t="s">
        <v>333</v>
      </c>
      <c r="B45" s="70" t="s">
        <v>40</v>
      </c>
      <c r="C45" s="86"/>
      <c r="D45" s="67">
        <f>854967.51+5.9</f>
        <v>854973.41</v>
      </c>
    </row>
    <row r="46" spans="1:7" ht="17.25" customHeight="1" thickBot="1">
      <c r="A46" s="87" t="s">
        <v>44</v>
      </c>
      <c r="B46" s="88"/>
      <c r="C46" s="89">
        <f>SUM(C5:C45)</f>
        <v>20959974.939999998</v>
      </c>
      <c r="D46" s="89">
        <f>SUM(D5:D45)</f>
        <v>20959974.940000001</v>
      </c>
      <c r="F46" s="146">
        <f>SUM(C46-D46)</f>
        <v>-3.7252902984619141E-9</v>
      </c>
    </row>
    <row r="47" spans="1:7" ht="17.25" customHeight="1" thickTop="1"/>
    <row r="49" spans="3:5" ht="17.25" customHeight="1">
      <c r="D49" s="81"/>
    </row>
    <row r="51" spans="3:5" ht="17.25" customHeight="1">
      <c r="C51" s="80"/>
      <c r="D51" s="81"/>
    </row>
    <row r="52" spans="3:5" ht="17.25" customHeight="1">
      <c r="C52" s="81"/>
    </row>
    <row r="54" spans="3:5" ht="17.25" customHeight="1">
      <c r="C54" s="81"/>
      <c r="D54" s="80"/>
      <c r="E54" s="81"/>
    </row>
    <row r="55" spans="3:5" ht="17.25" customHeight="1">
      <c r="D55" s="146"/>
      <c r="E55" s="81"/>
    </row>
    <row r="56" spans="3:5" ht="17.25" customHeight="1">
      <c r="E56" s="81"/>
    </row>
    <row r="58" spans="3:5" ht="17.25" customHeight="1">
      <c r="C58" s="81"/>
      <c r="D58" s="81"/>
    </row>
  </sheetData>
  <mergeCells count="3">
    <mergeCell ref="A1:D1"/>
    <mergeCell ref="A2:D2"/>
    <mergeCell ref="A3:D3"/>
  </mergeCells>
  <pageMargins left="0.49" right="0.34" top="0.19" bottom="0.3" header="0.19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topLeftCell="B20" zoomScaleNormal="100" workbookViewId="0">
      <selection activeCell="W37" sqref="W36:W37"/>
    </sheetView>
  </sheetViews>
  <sheetFormatPr defaultRowHeight="18.75"/>
  <cols>
    <col min="1" max="1" width="16.375" style="237" customWidth="1"/>
    <col min="2" max="2" width="17.5" style="237" customWidth="1"/>
    <col min="3" max="3" width="31.125" style="237" customWidth="1"/>
    <col min="4" max="4" width="8.75" style="237" customWidth="1"/>
    <col min="5" max="5" width="17" style="237" customWidth="1"/>
    <col min="6" max="8" width="14.25" style="238" hidden="1" customWidth="1"/>
    <col min="9" max="9" width="14" style="238" hidden="1" customWidth="1"/>
    <col min="10" max="10" width="15" style="238" hidden="1" customWidth="1"/>
    <col min="11" max="11" width="14.25" style="238" hidden="1" customWidth="1"/>
    <col min="12" max="12" width="10.5" style="237" hidden="1" customWidth="1"/>
    <col min="13" max="13" width="10.625" style="237" hidden="1" customWidth="1"/>
    <col min="14" max="14" width="13.25" style="238" hidden="1" customWidth="1"/>
    <col min="15" max="15" width="10.625" style="237" hidden="1" customWidth="1"/>
    <col min="16" max="16" width="11.375" style="237" hidden="1" customWidth="1"/>
    <col min="17" max="17" width="12.375" style="238" hidden="1" customWidth="1"/>
    <col min="18" max="18" width="0" style="237" hidden="1" customWidth="1"/>
    <col min="19" max="19" width="20.625" style="237" hidden="1" customWidth="1"/>
    <col min="20" max="20" width="0" style="237" hidden="1" customWidth="1"/>
    <col min="21" max="16384" width="9" style="237"/>
  </cols>
  <sheetData>
    <row r="1" spans="1:19" s="55" customFormat="1" ht="20.85" customHeight="1">
      <c r="A1" s="253" t="s">
        <v>257</v>
      </c>
      <c r="B1" s="253"/>
      <c r="C1" s="253"/>
      <c r="D1" s="253"/>
      <c r="E1" s="253"/>
      <c r="F1" s="138"/>
      <c r="G1" s="138"/>
      <c r="H1" s="138"/>
      <c r="I1" s="138"/>
      <c r="J1" s="138"/>
      <c r="K1" s="138"/>
      <c r="N1" s="138"/>
      <c r="Q1" s="138"/>
    </row>
    <row r="2" spans="1:19" s="55" customFormat="1" ht="20.85" customHeight="1">
      <c r="A2" s="253" t="s">
        <v>48</v>
      </c>
      <c r="B2" s="253"/>
      <c r="C2" s="253"/>
      <c r="D2" s="253"/>
      <c r="E2" s="253"/>
      <c r="F2" s="138"/>
      <c r="G2" s="138"/>
      <c r="H2" s="138"/>
      <c r="I2" s="138"/>
      <c r="J2" s="138"/>
      <c r="K2" s="138"/>
      <c r="N2" s="138"/>
      <c r="Q2" s="138"/>
    </row>
    <row r="3" spans="1:19" s="55" customFormat="1" ht="18.75" customHeight="1">
      <c r="A3" s="253" t="s">
        <v>322</v>
      </c>
      <c r="B3" s="253"/>
      <c r="C3" s="253"/>
      <c r="D3" s="253"/>
      <c r="E3" s="253"/>
      <c r="F3" s="138"/>
      <c r="G3" s="138"/>
      <c r="H3" s="138"/>
      <c r="I3" s="138">
        <f>SUM(E18-5743724.26)</f>
        <v>-3211409.92</v>
      </c>
      <c r="J3" s="138"/>
      <c r="K3" s="138"/>
      <c r="N3" s="138"/>
      <c r="Q3" s="138"/>
    </row>
    <row r="4" spans="1:19" s="55" customFormat="1" ht="19.5" customHeight="1">
      <c r="A4" s="254" t="s">
        <v>49</v>
      </c>
      <c r="B4" s="254"/>
      <c r="C4" s="254"/>
      <c r="D4" s="254"/>
      <c r="E4" s="254"/>
      <c r="F4" s="138"/>
      <c r="G4" s="138"/>
      <c r="H4" s="138"/>
      <c r="I4" s="138"/>
      <c r="J4" s="138"/>
      <c r="K4" s="138"/>
      <c r="N4" s="138"/>
      <c r="Q4" s="138"/>
    </row>
    <row r="5" spans="1:19" s="55" customFormat="1" ht="20.85" customHeight="1">
      <c r="A5" s="255" t="s">
        <v>400</v>
      </c>
      <c r="B5" s="255"/>
      <c r="C5" s="255"/>
      <c r="D5" s="255"/>
      <c r="E5" s="255"/>
      <c r="F5" s="138"/>
      <c r="G5" s="138"/>
      <c r="H5" s="138"/>
      <c r="I5" s="138"/>
      <c r="J5" s="138"/>
      <c r="K5" s="138"/>
      <c r="N5" s="138"/>
      <c r="Q5" s="138"/>
    </row>
    <row r="6" spans="1:19" s="55" customFormat="1" ht="20.85" customHeight="1">
      <c r="A6" s="256" t="s">
        <v>50</v>
      </c>
      <c r="B6" s="256"/>
      <c r="C6" s="169"/>
      <c r="D6" s="170"/>
      <c r="E6" s="171" t="s">
        <v>51</v>
      </c>
      <c r="F6" s="138"/>
      <c r="G6" s="138"/>
      <c r="H6" s="138"/>
      <c r="I6" s="138"/>
      <c r="J6" s="138"/>
      <c r="K6" s="138"/>
      <c r="N6" s="138"/>
      <c r="Q6" s="138"/>
    </row>
    <row r="7" spans="1:19" s="55" customFormat="1" ht="20.85" customHeight="1">
      <c r="A7" s="172" t="s">
        <v>52</v>
      </c>
      <c r="B7" s="172" t="s">
        <v>53</v>
      </c>
      <c r="C7" s="173" t="s">
        <v>46</v>
      </c>
      <c r="D7" s="174" t="s">
        <v>54</v>
      </c>
      <c r="E7" s="172" t="s">
        <v>53</v>
      </c>
      <c r="F7" s="138"/>
      <c r="G7" s="138"/>
      <c r="H7" s="138"/>
      <c r="I7" s="138"/>
      <c r="J7" s="138"/>
      <c r="K7" s="138"/>
      <c r="N7" s="138"/>
      <c r="Q7" s="138"/>
    </row>
    <row r="8" spans="1:19" s="55" customFormat="1" ht="18" customHeight="1">
      <c r="A8" s="175" t="s">
        <v>55</v>
      </c>
      <c r="B8" s="175" t="s">
        <v>55</v>
      </c>
      <c r="C8" s="176"/>
      <c r="D8" s="177" t="s">
        <v>56</v>
      </c>
      <c r="E8" s="175" t="s">
        <v>55</v>
      </c>
      <c r="F8" s="138"/>
      <c r="G8" s="138"/>
      <c r="H8" s="138"/>
      <c r="I8" s="138"/>
      <c r="J8" s="138"/>
      <c r="K8" s="138"/>
      <c r="N8" s="138"/>
      <c r="Q8" s="138"/>
    </row>
    <row r="9" spans="1:19" s="55" customFormat="1" ht="20.85" customHeight="1">
      <c r="A9" s="133"/>
      <c r="B9" s="178">
        <v>9050620.0999999996</v>
      </c>
      <c r="C9" s="179" t="s">
        <v>47</v>
      </c>
      <c r="D9" s="180"/>
      <c r="E9" s="178">
        <v>8126449.4299999997</v>
      </c>
      <c r="F9" s="181" t="s">
        <v>57</v>
      </c>
      <c r="G9" s="181" t="s">
        <v>58</v>
      </c>
      <c r="H9" s="181" t="s">
        <v>59</v>
      </c>
      <c r="I9" s="181" t="s">
        <v>60</v>
      </c>
      <c r="J9" s="181" t="s">
        <v>61</v>
      </c>
      <c r="K9" s="181" t="s">
        <v>62</v>
      </c>
      <c r="L9" s="182" t="s">
        <v>63</v>
      </c>
      <c r="M9" s="182" t="s">
        <v>64</v>
      </c>
      <c r="N9" s="181" t="s">
        <v>65</v>
      </c>
      <c r="O9" s="182" t="s">
        <v>66</v>
      </c>
      <c r="P9" s="182" t="s">
        <v>67</v>
      </c>
      <c r="Q9" s="181" t="s">
        <v>68</v>
      </c>
    </row>
    <row r="10" spans="1:19" s="55" customFormat="1" ht="20.85" customHeight="1">
      <c r="A10" s="183"/>
      <c r="B10" s="184"/>
      <c r="C10" s="185" t="s">
        <v>327</v>
      </c>
      <c r="D10" s="186"/>
      <c r="E10" s="184"/>
      <c r="F10" s="187"/>
      <c r="G10" s="187"/>
      <c r="H10" s="187"/>
      <c r="I10" s="187"/>
      <c r="J10" s="187"/>
      <c r="K10" s="187"/>
      <c r="L10" s="188"/>
      <c r="M10" s="188"/>
      <c r="N10" s="187"/>
      <c r="O10" s="188"/>
      <c r="P10" s="188"/>
      <c r="Q10" s="187"/>
    </row>
    <row r="11" spans="1:19" s="55" customFormat="1" ht="20.85" customHeight="1">
      <c r="A11" s="183">
        <v>337000</v>
      </c>
      <c r="B11" s="189">
        <f>SUM(F11:Q11)</f>
        <v>0</v>
      </c>
      <c r="C11" s="190" t="s">
        <v>69</v>
      </c>
      <c r="D11" s="186" t="s">
        <v>289</v>
      </c>
      <c r="E11" s="183">
        <f>SUM(H11)</f>
        <v>0</v>
      </c>
      <c r="F11" s="187"/>
      <c r="G11" s="187"/>
      <c r="H11" s="187"/>
      <c r="I11" s="187"/>
      <c r="J11" s="187"/>
      <c r="K11" s="187"/>
      <c r="L11" s="188"/>
      <c r="M11" s="188"/>
      <c r="N11" s="187"/>
      <c r="O11" s="188"/>
      <c r="P11" s="188"/>
      <c r="Q11" s="187"/>
    </row>
    <row r="12" spans="1:19" s="55" customFormat="1" ht="20.85" customHeight="1">
      <c r="A12" s="183">
        <v>136000</v>
      </c>
      <c r="B12" s="189">
        <f>SUM(F12:Q12)</f>
        <v>28840.5</v>
      </c>
      <c r="C12" s="190" t="s">
        <v>70</v>
      </c>
      <c r="D12" s="186" t="s">
        <v>290</v>
      </c>
      <c r="E12" s="183">
        <f t="shared" ref="E12:E17" si="0">SUM(H12)</f>
        <v>144.75</v>
      </c>
      <c r="F12" s="187">
        <f>83+20+4684+240</f>
        <v>5027</v>
      </c>
      <c r="G12" s="187">
        <f>0.7+100+11.2+2.65+8.1+7.3+9.4+1.4+100+15280+8148</f>
        <v>23668.75</v>
      </c>
      <c r="H12" s="187">
        <f>30.75+20+94</f>
        <v>144.75</v>
      </c>
      <c r="I12" s="187"/>
      <c r="J12" s="187"/>
      <c r="K12" s="187"/>
      <c r="L12" s="188"/>
      <c r="M12" s="188"/>
      <c r="N12" s="187"/>
      <c r="O12" s="188"/>
      <c r="P12" s="188"/>
      <c r="Q12" s="187"/>
    </row>
    <row r="13" spans="1:19" s="55" customFormat="1" ht="20.85" customHeight="1">
      <c r="A13" s="183">
        <v>162000</v>
      </c>
      <c r="B13" s="189">
        <f t="shared" ref="B13" si="1">SUM(F13:Q13)</f>
        <v>0</v>
      </c>
      <c r="C13" s="190" t="s">
        <v>71</v>
      </c>
      <c r="D13" s="186" t="s">
        <v>291</v>
      </c>
      <c r="E13" s="183">
        <f t="shared" si="0"/>
        <v>0</v>
      </c>
      <c r="F13" s="187"/>
      <c r="G13" s="187"/>
      <c r="H13" s="187"/>
      <c r="I13" s="187"/>
      <c r="J13" s="187"/>
      <c r="K13" s="187"/>
      <c r="L13" s="188"/>
      <c r="M13" s="188"/>
      <c r="N13" s="187"/>
      <c r="O13" s="188"/>
      <c r="P13" s="188"/>
      <c r="Q13" s="187"/>
    </row>
    <row r="14" spans="1:19" s="55" customFormat="1" ht="20.85" customHeight="1">
      <c r="A14" s="183">
        <v>348000</v>
      </c>
      <c r="B14" s="183">
        <f>SUM(F14:Q14)</f>
        <v>98662</v>
      </c>
      <c r="C14" s="190" t="s">
        <v>72</v>
      </c>
      <c r="D14" s="186" t="s">
        <v>292</v>
      </c>
      <c r="E14" s="183">
        <f t="shared" si="0"/>
        <v>28464</v>
      </c>
      <c r="F14" s="187">
        <v>33980</v>
      </c>
      <c r="G14" s="187">
        <v>36218</v>
      </c>
      <c r="H14" s="187">
        <v>28464</v>
      </c>
      <c r="I14" s="187"/>
      <c r="J14" s="187"/>
      <c r="K14" s="187"/>
      <c r="L14" s="188"/>
      <c r="M14" s="188"/>
      <c r="N14" s="187"/>
      <c r="O14" s="188"/>
      <c r="P14" s="188"/>
      <c r="Q14" s="187"/>
      <c r="S14" s="191">
        <f>SUM(B14)</f>
        <v>98662</v>
      </c>
    </row>
    <row r="15" spans="1:19" s="55" customFormat="1" ht="20.85" customHeight="1">
      <c r="A15" s="183">
        <v>85500</v>
      </c>
      <c r="B15" s="183">
        <f>SUM(F15:Q15)</f>
        <v>11650</v>
      </c>
      <c r="C15" s="190" t="s">
        <v>73</v>
      </c>
      <c r="D15" s="186" t="s">
        <v>293</v>
      </c>
      <c r="E15" s="183">
        <f t="shared" si="0"/>
        <v>2936</v>
      </c>
      <c r="F15" s="187">
        <v>1582</v>
      </c>
      <c r="G15" s="187">
        <f>1050+3500+1582+1000</f>
        <v>7132</v>
      </c>
      <c r="H15" s="187">
        <f>350+1582+1004</f>
        <v>2936</v>
      </c>
      <c r="I15" s="187"/>
      <c r="J15" s="187"/>
      <c r="K15" s="187"/>
      <c r="L15" s="188"/>
      <c r="M15" s="188"/>
      <c r="N15" s="187"/>
      <c r="O15" s="188"/>
      <c r="P15" s="188"/>
      <c r="Q15" s="187"/>
    </row>
    <row r="16" spans="1:19" s="55" customFormat="1" ht="20.85" customHeight="1">
      <c r="A16" s="183">
        <v>12631500</v>
      </c>
      <c r="B16" s="183">
        <f t="shared" ref="B16" si="2">SUM(F16:Q16)</f>
        <v>2479043.9399999995</v>
      </c>
      <c r="C16" s="190" t="s">
        <v>74</v>
      </c>
      <c r="D16" s="186" t="s">
        <v>294</v>
      </c>
      <c r="E16" s="183">
        <f t="shared" si="0"/>
        <v>358788.58999999997</v>
      </c>
      <c r="F16" s="187">
        <f>591524.75+154502.76+18632.13+61852.55+91648.36+14702.44+42648</f>
        <v>975510.99</v>
      </c>
      <c r="G16" s="187">
        <f>623569.73+152274.14+130764.84+202452.65+35683</f>
        <v>1144744.3599999999</v>
      </c>
      <c r="H16" s="187">
        <f>128229.04+62330.37+74477.58+93674+77.6</f>
        <v>358788.58999999997</v>
      </c>
      <c r="I16" s="187"/>
      <c r="J16" s="187"/>
      <c r="K16" s="187"/>
      <c r="L16" s="188"/>
      <c r="M16" s="188"/>
      <c r="N16" s="187"/>
      <c r="O16" s="188"/>
      <c r="P16" s="188"/>
      <c r="Q16" s="187"/>
    </row>
    <row r="17" spans="1:19" s="55" customFormat="1" ht="20.85" customHeight="1">
      <c r="A17" s="183">
        <v>7750000</v>
      </c>
      <c r="B17" s="183">
        <f>SUM(F17:Q17)</f>
        <v>3027561</v>
      </c>
      <c r="C17" s="190" t="s">
        <v>75</v>
      </c>
      <c r="D17" s="186" t="s">
        <v>295</v>
      </c>
      <c r="E17" s="183">
        <f t="shared" si="0"/>
        <v>2141981</v>
      </c>
      <c r="F17" s="187"/>
      <c r="G17" s="187">
        <f>245980+614600+3000+22000</f>
        <v>885580</v>
      </c>
      <c r="H17" s="187">
        <v>2141981</v>
      </c>
      <c r="I17" s="187"/>
      <c r="J17" s="187"/>
      <c r="K17" s="187"/>
      <c r="L17" s="188"/>
      <c r="M17" s="188"/>
      <c r="N17" s="187"/>
      <c r="O17" s="188"/>
      <c r="P17" s="188"/>
      <c r="Q17" s="187"/>
      <c r="S17" s="192">
        <f>SUM(E18-1996432.07)</f>
        <v>535882.26999999979</v>
      </c>
    </row>
    <row r="18" spans="1:19" s="55" customFormat="1" ht="20.85" customHeight="1" thickBot="1">
      <c r="A18" s="54">
        <f>SUM(A9:A17)</f>
        <v>21450000</v>
      </c>
      <c r="B18" s="193">
        <f>SUM(B11:B17)</f>
        <v>5645757.4399999995</v>
      </c>
      <c r="C18" s="190"/>
      <c r="D18" s="186"/>
      <c r="E18" s="193">
        <f>SUM(E11+E12+E13+E14+E15+E16+E17)</f>
        <v>2532314.34</v>
      </c>
      <c r="F18" s="181" t="s">
        <v>57</v>
      </c>
      <c r="G18" s="181" t="s">
        <v>58</v>
      </c>
      <c r="H18" s="181" t="s">
        <v>59</v>
      </c>
      <c r="I18" s="181" t="s">
        <v>60</v>
      </c>
      <c r="J18" s="181" t="s">
        <v>61</v>
      </c>
      <c r="K18" s="181" t="s">
        <v>62</v>
      </c>
      <c r="L18" s="182" t="s">
        <v>63</v>
      </c>
      <c r="M18" s="182" t="s">
        <v>64</v>
      </c>
      <c r="N18" s="181" t="s">
        <v>65</v>
      </c>
      <c r="O18" s="182" t="s">
        <v>66</v>
      </c>
      <c r="P18" s="182" t="s">
        <v>67</v>
      </c>
      <c r="Q18" s="181" t="s">
        <v>68</v>
      </c>
    </row>
    <row r="19" spans="1:19" s="55" customFormat="1" ht="20.85" customHeight="1" thickTop="1">
      <c r="A19" s="194"/>
      <c r="B19" s="184">
        <f>SUM(F19:Q19)</f>
        <v>1200</v>
      </c>
      <c r="C19" s="55" t="s">
        <v>271</v>
      </c>
      <c r="D19" s="186" t="s">
        <v>260</v>
      </c>
      <c r="E19" s="183">
        <f>SUM(H19)</f>
        <v>0</v>
      </c>
      <c r="F19" s="187"/>
      <c r="G19" s="187">
        <v>1200</v>
      </c>
      <c r="H19" s="187"/>
      <c r="I19" s="187"/>
      <c r="J19" s="187"/>
      <c r="K19" s="187"/>
      <c r="L19" s="188"/>
      <c r="M19" s="188"/>
      <c r="N19" s="187"/>
      <c r="O19" s="188"/>
      <c r="P19" s="188"/>
      <c r="Q19" s="187"/>
      <c r="S19" s="192">
        <f>SUM(E18-1996432.07)-2089.65</f>
        <v>533792.61999999976</v>
      </c>
    </row>
    <row r="20" spans="1:19" s="55" customFormat="1" ht="20.85" customHeight="1">
      <c r="A20" s="194"/>
      <c r="B20" s="184">
        <f>SUM(F20:Q20)+206500+10500</f>
        <v>237000</v>
      </c>
      <c r="C20" s="55" t="s">
        <v>321</v>
      </c>
      <c r="D20" s="186"/>
      <c r="E20" s="183">
        <f t="shared" ref="E20:E35" si="3">SUM(H20)</f>
        <v>0</v>
      </c>
      <c r="F20" s="187"/>
      <c r="G20" s="187">
        <v>20000</v>
      </c>
      <c r="H20" s="187"/>
      <c r="I20" s="187"/>
      <c r="J20" s="187"/>
      <c r="K20" s="187"/>
      <c r="L20" s="188"/>
      <c r="M20" s="188"/>
      <c r="N20" s="187"/>
      <c r="O20" s="188"/>
      <c r="P20" s="188"/>
      <c r="Q20" s="187"/>
    </row>
    <row r="21" spans="1:19" s="55" customFormat="1" ht="20.85" customHeight="1">
      <c r="A21" s="194"/>
      <c r="B21" s="184">
        <f t="shared" ref="B21:B27" si="4">SUM(F21+G21+H21+I21+J21+K21+L21+M21+N21+O21+P21+Q21)</f>
        <v>0</v>
      </c>
      <c r="C21" s="55" t="s">
        <v>383</v>
      </c>
      <c r="D21" s="186"/>
      <c r="E21" s="183">
        <f t="shared" si="3"/>
        <v>0</v>
      </c>
      <c r="F21" s="187"/>
      <c r="G21" s="187"/>
      <c r="H21" s="187"/>
      <c r="I21" s="187"/>
      <c r="J21" s="187"/>
      <c r="K21" s="187"/>
      <c r="L21" s="188"/>
      <c r="M21" s="188"/>
      <c r="N21" s="187"/>
      <c r="O21" s="188"/>
      <c r="P21" s="188"/>
      <c r="Q21" s="187"/>
    </row>
    <row r="22" spans="1:19" s="55" customFormat="1" ht="20.85" customHeight="1">
      <c r="A22" s="194"/>
      <c r="B22" s="184">
        <f>SUM(F22+G22+H22+I22+J22+K22+L22+M22+N22+O22+P22+Q22)</f>
        <v>3000</v>
      </c>
      <c r="C22" s="55" t="s">
        <v>76</v>
      </c>
      <c r="D22" s="186" t="s">
        <v>41</v>
      </c>
      <c r="E22" s="183">
        <f t="shared" si="3"/>
        <v>1000</v>
      </c>
      <c r="F22" s="187">
        <v>1000</v>
      </c>
      <c r="G22" s="187">
        <v>1000</v>
      </c>
      <c r="H22" s="187">
        <v>1000</v>
      </c>
      <c r="I22" s="187"/>
      <c r="J22" s="187"/>
      <c r="K22" s="187"/>
      <c r="L22" s="188"/>
      <c r="M22" s="188"/>
      <c r="N22" s="187"/>
      <c r="O22" s="188"/>
      <c r="P22" s="188"/>
      <c r="Q22" s="187"/>
    </row>
    <row r="23" spans="1:19" s="55" customFormat="1" ht="20.85" customHeight="1">
      <c r="A23" s="194"/>
      <c r="B23" s="184">
        <f t="shared" si="4"/>
        <v>191658.93</v>
      </c>
      <c r="C23" s="55" t="s">
        <v>328</v>
      </c>
      <c r="D23" s="186" t="s">
        <v>40</v>
      </c>
      <c r="E23" s="183">
        <f t="shared" si="3"/>
        <v>136316.97</v>
      </c>
      <c r="F23" s="187">
        <f>28028.36+8030</f>
        <v>36058.36</v>
      </c>
      <c r="G23" s="187">
        <v>19283.599999999999</v>
      </c>
      <c r="H23" s="187">
        <f>126870+776.97+8670</f>
        <v>136316.97</v>
      </c>
      <c r="I23" s="187"/>
      <c r="J23" s="187"/>
      <c r="K23" s="187"/>
      <c r="L23" s="195"/>
      <c r="M23" s="195"/>
      <c r="N23" s="187"/>
      <c r="O23" s="195"/>
      <c r="P23" s="195"/>
      <c r="Q23" s="187"/>
    </row>
    <row r="24" spans="1:19" s="55" customFormat="1" ht="20.85" customHeight="1">
      <c r="A24" s="194"/>
      <c r="B24" s="184">
        <f>SUM(F24+G24+H24+I24+J24+K24+L24+M24+N24+O24+P24+Q24)</f>
        <v>93138</v>
      </c>
      <c r="C24" s="55" t="s">
        <v>378</v>
      </c>
      <c r="D24" s="186"/>
      <c r="E24" s="183">
        <f t="shared" si="3"/>
        <v>30784</v>
      </c>
      <c r="F24" s="187">
        <v>32588</v>
      </c>
      <c r="G24" s="187">
        <v>29766</v>
      </c>
      <c r="H24" s="187">
        <v>30784</v>
      </c>
      <c r="I24" s="187"/>
      <c r="J24" s="187"/>
      <c r="K24" s="187"/>
      <c r="L24" s="195"/>
      <c r="M24" s="195"/>
      <c r="N24" s="187"/>
      <c r="O24" s="195"/>
      <c r="P24" s="195"/>
      <c r="Q24" s="187"/>
    </row>
    <row r="25" spans="1:19" s="55" customFormat="1" ht="20.85" customHeight="1">
      <c r="A25" s="194"/>
      <c r="B25" s="184">
        <f>SUM(F25+G25+H25+I25+J25+K25+L25+M25+N25+O25+P25+Q25)</f>
        <v>30000</v>
      </c>
      <c r="C25" s="55" t="s">
        <v>379</v>
      </c>
      <c r="D25" s="186"/>
      <c r="E25" s="183">
        <f t="shared" si="3"/>
        <v>14720</v>
      </c>
      <c r="F25" s="187">
        <v>14960</v>
      </c>
      <c r="G25" s="187">
        <v>320</v>
      </c>
      <c r="H25" s="187">
        <v>14720</v>
      </c>
      <c r="I25" s="187"/>
      <c r="J25" s="187"/>
      <c r="K25" s="187"/>
      <c r="L25" s="195"/>
      <c r="M25" s="195"/>
      <c r="N25" s="187"/>
      <c r="O25" s="195"/>
      <c r="P25" s="195"/>
      <c r="Q25" s="187"/>
    </row>
    <row r="26" spans="1:19" s="55" customFormat="1" ht="20.85" customHeight="1">
      <c r="A26" s="194"/>
      <c r="B26" s="184">
        <f t="shared" si="4"/>
        <v>1700800</v>
      </c>
      <c r="C26" s="55" t="s">
        <v>381</v>
      </c>
      <c r="D26" s="186"/>
      <c r="E26" s="183">
        <f t="shared" si="3"/>
        <v>422800</v>
      </c>
      <c r="F26" s="187"/>
      <c r="G26" s="187">
        <v>1278000</v>
      </c>
      <c r="H26" s="187">
        <v>422800</v>
      </c>
      <c r="I26" s="187"/>
      <c r="J26" s="187"/>
      <c r="K26" s="187"/>
      <c r="L26" s="195"/>
      <c r="M26" s="195"/>
      <c r="N26" s="187"/>
      <c r="O26" s="195"/>
      <c r="P26" s="195"/>
      <c r="Q26" s="187"/>
    </row>
    <row r="27" spans="1:19" s="55" customFormat="1" ht="20.85" customHeight="1">
      <c r="A27" s="194"/>
      <c r="B27" s="184">
        <f t="shared" si="4"/>
        <v>194650</v>
      </c>
      <c r="C27" s="196" t="s">
        <v>380</v>
      </c>
      <c r="D27" s="186"/>
      <c r="E27" s="183">
        <f t="shared" si="3"/>
        <v>0</v>
      </c>
      <c r="F27" s="187"/>
      <c r="G27" s="187">
        <v>194650</v>
      </c>
      <c r="H27" s="187"/>
      <c r="I27" s="187"/>
      <c r="J27" s="187"/>
      <c r="K27" s="187"/>
      <c r="L27" s="195"/>
      <c r="M27" s="195"/>
      <c r="N27" s="187"/>
      <c r="O27" s="195"/>
      <c r="P27" s="195"/>
      <c r="Q27" s="187"/>
    </row>
    <row r="28" spans="1:19" s="55" customFormat="1" ht="20.85" customHeight="1">
      <c r="A28" s="194"/>
      <c r="B28" s="184">
        <f>SUM(F28+G28+H28+I28+J28+K28+L28+M28+N28+O28+P28+Q28)+1037219</f>
        <v>1037219</v>
      </c>
      <c r="C28" s="196" t="s">
        <v>401</v>
      </c>
      <c r="D28" s="186"/>
      <c r="E28" s="183">
        <f t="shared" si="3"/>
        <v>0</v>
      </c>
      <c r="F28" s="187"/>
      <c r="G28" s="187"/>
      <c r="H28" s="187"/>
      <c r="I28" s="187"/>
      <c r="J28" s="187"/>
      <c r="K28" s="187"/>
      <c r="L28" s="195"/>
      <c r="M28" s="195"/>
      <c r="N28" s="187"/>
      <c r="O28" s="195"/>
      <c r="P28" s="195"/>
      <c r="Q28" s="187"/>
    </row>
    <row r="29" spans="1:19" s="55" customFormat="1" ht="20.85" customHeight="1">
      <c r="A29" s="194"/>
      <c r="B29" s="184">
        <f>SUM(F29:Q29)</f>
        <v>178605</v>
      </c>
      <c r="C29" s="196" t="s">
        <v>77</v>
      </c>
      <c r="D29" s="186"/>
      <c r="E29" s="183">
        <f t="shared" si="3"/>
        <v>0</v>
      </c>
      <c r="F29" s="187"/>
      <c r="G29" s="187">
        <v>178605</v>
      </c>
      <c r="H29" s="187"/>
      <c r="I29" s="187"/>
      <c r="J29" s="187"/>
      <c r="K29" s="187"/>
      <c r="L29" s="195"/>
      <c r="M29" s="195"/>
      <c r="N29" s="187"/>
      <c r="O29" s="195"/>
      <c r="P29" s="195"/>
      <c r="Q29" s="187"/>
    </row>
    <row r="30" spans="1:19" s="55" customFormat="1" ht="20.85" customHeight="1">
      <c r="A30" s="194"/>
      <c r="B30" s="184">
        <f t="shared" ref="B30:B35" si="5">SUM(F30+G30+H30+I30+J30+K30+L30+M30+N30+O30+P30+Q30)</f>
        <v>276630</v>
      </c>
      <c r="C30" s="196" t="s">
        <v>269</v>
      </c>
      <c r="D30" s="186"/>
      <c r="E30" s="183">
        <f t="shared" si="3"/>
        <v>0</v>
      </c>
      <c r="F30" s="187"/>
      <c r="G30" s="187">
        <f>65400+211230</f>
        <v>276630</v>
      </c>
      <c r="H30" s="187"/>
      <c r="I30" s="187"/>
      <c r="J30" s="187"/>
      <c r="K30" s="187"/>
      <c r="L30" s="195"/>
      <c r="M30" s="195"/>
      <c r="N30" s="187"/>
      <c r="O30" s="195"/>
      <c r="P30" s="195"/>
      <c r="Q30" s="187"/>
    </row>
    <row r="31" spans="1:19" s="55" customFormat="1" ht="20.85" customHeight="1">
      <c r="A31" s="194"/>
      <c r="B31" s="184">
        <f t="shared" si="5"/>
        <v>3270</v>
      </c>
      <c r="C31" s="196" t="s">
        <v>78</v>
      </c>
      <c r="D31" s="186"/>
      <c r="E31" s="183">
        <f t="shared" si="3"/>
        <v>0</v>
      </c>
      <c r="F31" s="187"/>
      <c r="G31" s="187">
        <v>3270</v>
      </c>
      <c r="H31" s="187"/>
      <c r="I31" s="187"/>
      <c r="J31" s="187"/>
      <c r="K31" s="187"/>
      <c r="L31" s="195"/>
      <c r="M31" s="195"/>
      <c r="N31" s="187"/>
      <c r="O31" s="195"/>
      <c r="P31" s="195"/>
      <c r="Q31" s="187"/>
    </row>
    <row r="32" spans="1:19" s="55" customFormat="1" ht="20.85" customHeight="1">
      <c r="A32" s="194"/>
      <c r="B32" s="184">
        <f t="shared" si="5"/>
        <v>302400</v>
      </c>
      <c r="C32" s="55" t="s">
        <v>342</v>
      </c>
      <c r="D32" s="186"/>
      <c r="E32" s="183">
        <f t="shared" si="3"/>
        <v>159900</v>
      </c>
      <c r="F32" s="187"/>
      <c r="G32" s="187">
        <v>142500</v>
      </c>
      <c r="H32" s="187">
        <v>159900</v>
      </c>
      <c r="I32" s="187"/>
      <c r="J32" s="187"/>
      <c r="K32" s="187"/>
      <c r="L32" s="195"/>
      <c r="M32" s="195"/>
      <c r="N32" s="187"/>
      <c r="O32" s="195"/>
      <c r="P32" s="195"/>
      <c r="Q32" s="187"/>
    </row>
    <row r="33" spans="1:19" s="55" customFormat="1" ht="18.75" customHeight="1">
      <c r="A33" s="194"/>
      <c r="B33" s="184">
        <f t="shared" si="5"/>
        <v>0</v>
      </c>
      <c r="C33" s="55" t="s">
        <v>343</v>
      </c>
      <c r="D33" s="186"/>
      <c r="E33" s="183">
        <f t="shared" si="3"/>
        <v>0</v>
      </c>
      <c r="F33" s="187"/>
      <c r="G33" s="187"/>
      <c r="H33" s="187"/>
      <c r="I33" s="187"/>
      <c r="J33" s="187"/>
      <c r="K33" s="187"/>
      <c r="L33" s="195"/>
      <c r="M33" s="195"/>
      <c r="N33" s="187"/>
      <c r="O33" s="195"/>
      <c r="P33" s="195"/>
      <c r="Q33" s="187"/>
    </row>
    <row r="34" spans="1:19" s="55" customFormat="1" ht="19.5" customHeight="1">
      <c r="A34" s="194"/>
      <c r="B34" s="184">
        <f t="shared" si="5"/>
        <v>0</v>
      </c>
      <c r="C34" s="55" t="s">
        <v>344</v>
      </c>
      <c r="D34" s="186"/>
      <c r="E34" s="183">
        <f t="shared" si="3"/>
        <v>0</v>
      </c>
      <c r="F34" s="187"/>
      <c r="G34" s="187"/>
      <c r="H34" s="187"/>
      <c r="I34" s="187"/>
      <c r="J34" s="187"/>
      <c r="K34" s="187"/>
      <c r="L34" s="195"/>
      <c r="M34" s="195"/>
      <c r="N34" s="187"/>
      <c r="O34" s="195"/>
      <c r="P34" s="195"/>
      <c r="Q34" s="187"/>
    </row>
    <row r="35" spans="1:19" s="55" customFormat="1" ht="20.85" customHeight="1">
      <c r="A35" s="194"/>
      <c r="B35" s="184">
        <f t="shared" si="5"/>
        <v>150000</v>
      </c>
      <c r="C35" s="55" t="s">
        <v>410</v>
      </c>
      <c r="D35" s="186"/>
      <c r="E35" s="183">
        <f t="shared" si="3"/>
        <v>150000</v>
      </c>
      <c r="F35" s="187"/>
      <c r="G35" s="187"/>
      <c r="H35" s="187">
        <v>150000</v>
      </c>
      <c r="I35" s="187"/>
      <c r="J35" s="187"/>
      <c r="K35" s="187"/>
      <c r="L35" s="195"/>
      <c r="M35" s="195"/>
      <c r="N35" s="187"/>
      <c r="O35" s="195"/>
      <c r="P35" s="195"/>
      <c r="Q35" s="187"/>
    </row>
    <row r="36" spans="1:19" s="55" customFormat="1" ht="20.85" customHeight="1">
      <c r="A36" s="194"/>
      <c r="B36" s="197">
        <f>SUM(B19:B35)</f>
        <v>4399570.93</v>
      </c>
      <c r="D36" s="198"/>
      <c r="E36" s="183">
        <f>SUM(E19:E35)</f>
        <v>915520.97</v>
      </c>
      <c r="F36" s="187"/>
      <c r="G36" s="187"/>
      <c r="H36" s="187"/>
      <c r="I36" s="187"/>
      <c r="J36" s="187"/>
      <c r="K36" s="187"/>
      <c r="L36" s="195"/>
      <c r="M36" s="195"/>
      <c r="N36" s="187"/>
      <c r="O36" s="195"/>
      <c r="P36" s="195"/>
      <c r="Q36" s="187"/>
    </row>
    <row r="37" spans="1:19" s="55" customFormat="1" ht="20.85" customHeight="1">
      <c r="A37" s="194"/>
      <c r="B37" s="199">
        <f>SUM(B18+B36)</f>
        <v>10045328.369999999</v>
      </c>
      <c r="C37" s="50" t="s">
        <v>79</v>
      </c>
      <c r="D37" s="202"/>
      <c r="E37" s="199">
        <f>SUM(E18+E36)</f>
        <v>3447835.3099999996</v>
      </c>
      <c r="F37" s="138"/>
      <c r="G37" s="138">
        <f>SUM(E37-E18)</f>
        <v>915520.96999999974</v>
      </c>
      <c r="H37" s="138"/>
      <c r="I37" s="138">
        <f>2390510.73-2385045.02</f>
        <v>5465.7099999999627</v>
      </c>
      <c r="J37" s="138">
        <f>SUM(4703890.19-4707594.58)</f>
        <v>-3704.3899999996647</v>
      </c>
      <c r="K37" s="138">
        <f>E37-963731.82</f>
        <v>2484103.4899999998</v>
      </c>
      <c r="L37" s="192"/>
      <c r="M37" s="192">
        <f>SUM(E37-1854059.49)</f>
        <v>1593775.8199999996</v>
      </c>
      <c r="N37" s="138">
        <f>1234678.53-1234267.29</f>
        <v>411.23999999999069</v>
      </c>
      <c r="Q37" s="138"/>
      <c r="S37" s="192">
        <f>SUM(E37-2089058.65)</f>
        <v>1358776.6599999997</v>
      </c>
    </row>
    <row r="38" spans="1:19" s="55" customFormat="1" ht="6" customHeight="1">
      <c r="A38" s="194"/>
      <c r="B38" s="201"/>
      <c r="C38" s="50"/>
      <c r="D38" s="200"/>
      <c r="E38" s="201"/>
      <c r="F38" s="138"/>
      <c r="G38" s="138"/>
      <c r="H38" s="138"/>
      <c r="I38" s="138"/>
      <c r="J38" s="138"/>
      <c r="K38" s="138"/>
      <c r="N38" s="138"/>
      <c r="Q38" s="138"/>
    </row>
    <row r="39" spans="1:19" s="55" customFormat="1" ht="2.25" hidden="1" customHeight="1">
      <c r="A39" s="194"/>
      <c r="B39" s="201"/>
      <c r="C39" s="50"/>
      <c r="D39" s="202"/>
      <c r="E39" s="201"/>
      <c r="F39" s="138"/>
      <c r="G39" s="138"/>
      <c r="H39" s="138"/>
      <c r="I39" s="138"/>
      <c r="J39" s="138"/>
      <c r="K39" s="138"/>
      <c r="N39" s="138"/>
      <c r="Q39" s="138"/>
    </row>
    <row r="40" spans="1:19" s="206" customFormat="1" ht="16.7" customHeight="1">
      <c r="A40" s="251" t="s">
        <v>50</v>
      </c>
      <c r="B40" s="252"/>
      <c r="C40" s="240"/>
      <c r="D40" s="241"/>
      <c r="E40" s="242" t="s">
        <v>51</v>
      </c>
      <c r="F40" s="136"/>
      <c r="G40" s="136"/>
      <c r="H40" s="136"/>
      <c r="I40" s="136"/>
      <c r="J40" s="136"/>
      <c r="K40" s="136"/>
      <c r="N40" s="136"/>
      <c r="Q40" s="136"/>
      <c r="S40" s="207">
        <f>SUM(S37-22693)</f>
        <v>1336083.6599999997</v>
      </c>
    </row>
    <row r="41" spans="1:19" s="206" customFormat="1" ht="16.7" customHeight="1">
      <c r="A41" s="208" t="s">
        <v>52</v>
      </c>
      <c r="B41" s="208" t="s">
        <v>53</v>
      </c>
      <c r="C41" s="203" t="s">
        <v>46</v>
      </c>
      <c r="D41" s="204" t="s">
        <v>54</v>
      </c>
      <c r="E41" s="208" t="s">
        <v>53</v>
      </c>
      <c r="F41" s="209" t="s">
        <v>57</v>
      </c>
      <c r="G41" s="209" t="s">
        <v>58</v>
      </c>
      <c r="H41" s="209" t="s">
        <v>59</v>
      </c>
      <c r="I41" s="209" t="s">
        <v>60</v>
      </c>
      <c r="J41" s="209" t="s">
        <v>61</v>
      </c>
      <c r="K41" s="209" t="s">
        <v>62</v>
      </c>
      <c r="L41" s="210" t="s">
        <v>63</v>
      </c>
      <c r="M41" s="210" t="s">
        <v>64</v>
      </c>
      <c r="N41" s="209" t="s">
        <v>65</v>
      </c>
      <c r="O41" s="210" t="s">
        <v>66</v>
      </c>
      <c r="P41" s="210" t="s">
        <v>67</v>
      </c>
      <c r="Q41" s="209" t="s">
        <v>68</v>
      </c>
    </row>
    <row r="42" spans="1:19" s="206" customFormat="1" ht="16.7" customHeight="1">
      <c r="A42" s="205" t="s">
        <v>55</v>
      </c>
      <c r="B42" s="205" t="s">
        <v>55</v>
      </c>
      <c r="C42" s="211"/>
      <c r="D42" s="212" t="s">
        <v>56</v>
      </c>
      <c r="E42" s="205" t="s">
        <v>55</v>
      </c>
      <c r="F42" s="136"/>
      <c r="G42" s="136"/>
      <c r="H42" s="136"/>
      <c r="I42" s="136"/>
      <c r="J42" s="136"/>
      <c r="K42" s="136"/>
      <c r="N42" s="136"/>
      <c r="Q42" s="136"/>
      <c r="S42" s="207">
        <f>SUM(S40-4068.41)</f>
        <v>1332015.2499999998</v>
      </c>
    </row>
    <row r="43" spans="1:19" s="206" customFormat="1" ht="16.7" customHeight="1">
      <c r="A43" s="56"/>
      <c r="B43" s="56"/>
      <c r="C43" s="213" t="s">
        <v>80</v>
      </c>
      <c r="D43" s="214"/>
      <c r="E43" s="56"/>
      <c r="F43" s="136"/>
      <c r="G43" s="136" t="s">
        <v>81</v>
      </c>
      <c r="H43" s="136"/>
      <c r="I43" s="136"/>
      <c r="J43" s="136"/>
      <c r="K43" s="136"/>
      <c r="N43" s="136"/>
      <c r="Q43" s="136"/>
    </row>
    <row r="44" spans="1:19" s="206" customFormat="1" ht="16.7" customHeight="1">
      <c r="A44" s="57">
        <v>273990</v>
      </c>
      <c r="B44" s="57">
        <f t="shared" ref="B44:B49" si="6">SUM(F44+G44+H44+I44+J44+K44+L44+M44+N44+O44+P44+Q44)</f>
        <v>273990</v>
      </c>
      <c r="C44" s="215" t="s">
        <v>324</v>
      </c>
      <c r="D44" s="216" t="s">
        <v>296</v>
      </c>
      <c r="E44" s="57">
        <f>SUM(H44)</f>
        <v>273990</v>
      </c>
      <c r="F44" s="135"/>
      <c r="G44" s="135"/>
      <c r="H44" s="135">
        <v>273990</v>
      </c>
      <c r="I44" s="135"/>
      <c r="J44" s="135"/>
      <c r="K44" s="135"/>
      <c r="L44" s="217"/>
      <c r="M44" s="217"/>
      <c r="N44" s="135"/>
      <c r="O44" s="217"/>
      <c r="P44" s="217"/>
      <c r="Q44" s="135"/>
    </row>
    <row r="45" spans="1:19" s="206" customFormat="1" ht="16.7" customHeight="1">
      <c r="A45" s="57">
        <v>101000</v>
      </c>
      <c r="B45" s="57">
        <f t="shared" si="6"/>
        <v>2109.63</v>
      </c>
      <c r="C45" s="215" t="s">
        <v>323</v>
      </c>
      <c r="D45" s="216" t="s">
        <v>325</v>
      </c>
      <c r="E45" s="57">
        <f t="shared" ref="E45:E58" si="7">SUM(H45)</f>
        <v>2109.63</v>
      </c>
      <c r="F45" s="135"/>
      <c r="G45" s="135"/>
      <c r="H45" s="135">
        <v>2109.63</v>
      </c>
      <c r="I45" s="135"/>
      <c r="J45" s="135"/>
      <c r="K45" s="135"/>
      <c r="L45" s="217"/>
      <c r="M45" s="217"/>
      <c r="N45" s="135"/>
      <c r="O45" s="217"/>
      <c r="P45" s="217"/>
      <c r="Q45" s="135"/>
    </row>
    <row r="46" spans="1:19" s="206" customFormat="1" ht="16.7" customHeight="1">
      <c r="A46" s="57">
        <v>180000</v>
      </c>
      <c r="B46" s="57">
        <f t="shared" si="6"/>
        <v>0</v>
      </c>
      <c r="C46" s="215" t="s">
        <v>82</v>
      </c>
      <c r="D46" s="216" t="s">
        <v>297</v>
      </c>
      <c r="E46" s="57">
        <f t="shared" si="7"/>
        <v>0</v>
      </c>
      <c r="F46" s="135"/>
      <c r="G46" s="135"/>
      <c r="H46" s="135"/>
      <c r="I46" s="135"/>
      <c r="J46" s="135"/>
      <c r="K46" s="135"/>
      <c r="L46" s="217"/>
      <c r="M46" s="217"/>
      <c r="N46" s="135"/>
      <c r="O46" s="217"/>
      <c r="P46" s="217"/>
      <c r="Q46" s="135"/>
      <c r="R46" s="218">
        <f>SUM(B44:B48)</f>
        <v>302289.63</v>
      </c>
    </row>
    <row r="47" spans="1:19" s="206" customFormat="1" ht="16.7" customHeight="1">
      <c r="A47" s="57">
        <v>106000</v>
      </c>
      <c r="B47" s="57">
        <f t="shared" si="6"/>
        <v>23190</v>
      </c>
      <c r="C47" s="215" t="s">
        <v>83</v>
      </c>
      <c r="D47" s="216" t="s">
        <v>12</v>
      </c>
      <c r="E47" s="57">
        <f t="shared" si="7"/>
        <v>7580</v>
      </c>
      <c r="F47" s="135">
        <v>8030</v>
      </c>
      <c r="G47" s="135">
        <v>7580</v>
      </c>
      <c r="H47" s="135">
        <v>7580</v>
      </c>
      <c r="I47" s="135"/>
      <c r="J47" s="135"/>
      <c r="K47" s="135"/>
      <c r="L47" s="217"/>
      <c r="M47" s="217"/>
      <c r="N47" s="135"/>
      <c r="O47" s="217"/>
      <c r="P47" s="217"/>
      <c r="Q47" s="135"/>
    </row>
    <row r="48" spans="1:19" s="206" customFormat="1" ht="16.7" customHeight="1">
      <c r="A48" s="57">
        <v>12000</v>
      </c>
      <c r="B48" s="57">
        <f t="shared" si="6"/>
        <v>3000</v>
      </c>
      <c r="C48" s="215" t="s">
        <v>329</v>
      </c>
      <c r="D48" s="216" t="s">
        <v>298</v>
      </c>
      <c r="E48" s="57">
        <f t="shared" si="7"/>
        <v>1000</v>
      </c>
      <c r="F48" s="135">
        <v>1000</v>
      </c>
      <c r="G48" s="135">
        <v>1000</v>
      </c>
      <c r="H48" s="135">
        <v>1000</v>
      </c>
      <c r="I48" s="135"/>
      <c r="J48" s="135"/>
      <c r="K48" s="135"/>
      <c r="L48" s="217"/>
      <c r="M48" s="217"/>
      <c r="N48" s="135"/>
      <c r="O48" s="217"/>
      <c r="P48" s="217"/>
      <c r="Q48" s="135"/>
    </row>
    <row r="49" spans="1:19" s="206" customFormat="1" ht="16.7" customHeight="1">
      <c r="A49" s="57">
        <v>2624640</v>
      </c>
      <c r="B49" s="57">
        <f t="shared" si="6"/>
        <v>656160</v>
      </c>
      <c r="C49" s="215" t="s">
        <v>84</v>
      </c>
      <c r="D49" s="216" t="s">
        <v>15</v>
      </c>
      <c r="E49" s="57">
        <f t="shared" si="7"/>
        <v>218720</v>
      </c>
      <c r="F49" s="135">
        <v>218720</v>
      </c>
      <c r="G49" s="135">
        <v>218720</v>
      </c>
      <c r="H49" s="135">
        <v>218720</v>
      </c>
      <c r="I49" s="135"/>
      <c r="J49" s="135"/>
      <c r="K49" s="135"/>
      <c r="L49" s="217"/>
      <c r="M49" s="217"/>
      <c r="N49" s="135"/>
      <c r="O49" s="217"/>
      <c r="P49" s="217"/>
      <c r="Q49" s="135"/>
      <c r="S49" s="207">
        <f>SUM(B44:B48)</f>
        <v>302289.63</v>
      </c>
    </row>
    <row r="50" spans="1:19" s="206" customFormat="1" ht="16.7" customHeight="1">
      <c r="A50" s="57">
        <f>5542310+1205280-14400</f>
        <v>6733190</v>
      </c>
      <c r="B50" s="57">
        <f>SUM(F50+G50+H50+I50+J50+K50+L50+M50+N50+O50+P50+Q50)</f>
        <v>1297264</v>
      </c>
      <c r="C50" s="215" t="s">
        <v>85</v>
      </c>
      <c r="D50" s="216" t="s">
        <v>18</v>
      </c>
      <c r="E50" s="57">
        <f t="shared" si="7"/>
        <v>431534</v>
      </c>
      <c r="F50" s="135">
        <f>234435+30000+161450</f>
        <v>425885</v>
      </c>
      <c r="G50" s="135">
        <v>439845</v>
      </c>
      <c r="H50" s="135">
        <f>246094+32990+152450</f>
        <v>431534</v>
      </c>
      <c r="I50" s="135"/>
      <c r="J50" s="135"/>
      <c r="K50" s="135"/>
      <c r="L50" s="217"/>
      <c r="M50" s="217"/>
      <c r="N50" s="135"/>
      <c r="O50" s="217"/>
      <c r="P50" s="217"/>
      <c r="Q50" s="135"/>
    </row>
    <row r="51" spans="1:19" s="206" customFormat="1" ht="16.7" customHeight="1">
      <c r="A51" s="57">
        <f>360000+10000+23000-5000-6000-4000</f>
        <v>378000</v>
      </c>
      <c r="B51" s="57">
        <f>SUM(F51+G51+H51+I51+J51+K51+L51+M51+N51+O51+P51+Q51)</f>
        <v>45302</v>
      </c>
      <c r="C51" s="215" t="s">
        <v>86</v>
      </c>
      <c r="D51" s="216" t="s">
        <v>20</v>
      </c>
      <c r="E51" s="57">
        <f t="shared" si="7"/>
        <v>17502</v>
      </c>
      <c r="F51" s="135">
        <v>12000</v>
      </c>
      <c r="G51" s="135">
        <f>11300+4500</f>
        <v>15800</v>
      </c>
      <c r="H51" s="135">
        <v>17502</v>
      </c>
      <c r="I51" s="135"/>
      <c r="J51" s="135"/>
      <c r="K51" s="135"/>
      <c r="L51" s="217"/>
      <c r="M51" s="217"/>
      <c r="N51" s="135"/>
      <c r="O51" s="217"/>
      <c r="P51" s="217"/>
      <c r="Q51" s="135"/>
    </row>
    <row r="52" spans="1:19" s="206" customFormat="1" ht="16.7" customHeight="1">
      <c r="A52" s="57">
        <f>1635000+70000+824800+40000+1970000+240000+920000+44000-15000-5000+50000-25000</f>
        <v>5748800</v>
      </c>
      <c r="B52" s="57">
        <f>SUM(F52+G52+H52+I52+J52+K52+L52+M52+N52+O52+P52+Q52)+206500+10500</f>
        <v>1075902</v>
      </c>
      <c r="C52" s="215" t="s">
        <v>87</v>
      </c>
      <c r="D52" s="216" t="s">
        <v>22</v>
      </c>
      <c r="E52" s="57">
        <f t="shared" si="7"/>
        <v>317824</v>
      </c>
      <c r="F52" s="135">
        <v>14190</v>
      </c>
      <c r="G52" s="135">
        <v>526888</v>
      </c>
      <c r="H52" s="135">
        <v>317824</v>
      </c>
      <c r="I52" s="135"/>
      <c r="J52" s="135"/>
      <c r="K52" s="135"/>
      <c r="L52" s="217"/>
      <c r="M52" s="217"/>
      <c r="N52" s="135"/>
      <c r="O52" s="217"/>
      <c r="P52" s="217"/>
      <c r="Q52" s="135"/>
    </row>
    <row r="53" spans="1:19" s="206" customFormat="1" ht="16.7" customHeight="1">
      <c r="A53" s="57">
        <f>705000+20000+858480+50000+456000+60000-20000+5000</f>
        <v>2134480</v>
      </c>
      <c r="B53" s="57">
        <f>SUM(F53+G53+H53+I53+J53+K53+L53+M53+N53+O53+P53+Q53)</f>
        <v>47895.3</v>
      </c>
      <c r="C53" s="215" t="s">
        <v>88</v>
      </c>
      <c r="D53" s="216" t="s">
        <v>24</v>
      </c>
      <c r="E53" s="57">
        <f t="shared" si="7"/>
        <v>23922.799999999999</v>
      </c>
      <c r="F53" s="135"/>
      <c r="G53" s="135">
        <f>19942.5+4030</f>
        <v>23972.5</v>
      </c>
      <c r="H53" s="135">
        <v>23922.799999999999</v>
      </c>
      <c r="I53" s="135"/>
      <c r="J53" s="135"/>
      <c r="K53" s="135"/>
      <c r="L53" s="217"/>
      <c r="M53" s="217"/>
      <c r="N53" s="135"/>
      <c r="O53" s="217"/>
      <c r="P53" s="217"/>
      <c r="Q53" s="135"/>
    </row>
    <row r="54" spans="1:19" s="206" customFormat="1" ht="16.7" customHeight="1">
      <c r="A54" s="57">
        <f>730000</f>
        <v>730000</v>
      </c>
      <c r="B54" s="57">
        <f t="shared" ref="B54" si="8">SUM(F54+G54+H54+I54+J54+K54+L54+M54+N54+O54+P54+Q54)</f>
        <v>149444.41</v>
      </c>
      <c r="C54" s="215" t="s">
        <v>89</v>
      </c>
      <c r="D54" s="216" t="s">
        <v>26</v>
      </c>
      <c r="E54" s="57">
        <f t="shared" si="7"/>
        <v>56984.69</v>
      </c>
      <c r="F54" s="135">
        <v>20085.939999999999</v>
      </c>
      <c r="G54" s="135">
        <v>72373.78</v>
      </c>
      <c r="H54" s="135">
        <f>56978.79+5.9</f>
        <v>56984.69</v>
      </c>
      <c r="I54" s="135"/>
      <c r="J54" s="135"/>
      <c r="K54" s="135"/>
      <c r="L54" s="217"/>
      <c r="M54" s="217"/>
      <c r="N54" s="135"/>
      <c r="O54" s="217"/>
      <c r="P54" s="217"/>
      <c r="Q54" s="135"/>
    </row>
    <row r="55" spans="1:19" s="206" customFormat="1" ht="16.7" customHeight="1">
      <c r="A55" s="57">
        <f>1848000+120000+105000</f>
        <v>2073000</v>
      </c>
      <c r="B55" s="57">
        <f>SUM(F55+G55+H55+I55+J55+K55+L55+M55+N55+O55+P55+Q55)</f>
        <v>0</v>
      </c>
      <c r="C55" s="60" t="s">
        <v>90</v>
      </c>
      <c r="D55" s="216" t="s">
        <v>28</v>
      </c>
      <c r="E55" s="57">
        <f t="shared" si="7"/>
        <v>0</v>
      </c>
      <c r="F55" s="135"/>
      <c r="G55" s="135"/>
      <c r="H55" s="135"/>
      <c r="I55" s="135"/>
      <c r="J55" s="135"/>
      <c r="K55" s="135"/>
      <c r="L55" s="217"/>
      <c r="M55" s="217"/>
      <c r="N55" s="135"/>
      <c r="O55" s="217"/>
      <c r="P55" s="217"/>
      <c r="Q55" s="135"/>
    </row>
    <row r="56" spans="1:19" s="206" customFormat="1" ht="16.7" customHeight="1">
      <c r="A56" s="57">
        <f>150500+140000-100000+25000+6500+5500+2400</f>
        <v>229900</v>
      </c>
      <c r="B56" s="57">
        <f>SUM(F56+G56+H56+I56+J56+K56+L56+M56+N56+O56+P56+Q56)</f>
        <v>0</v>
      </c>
      <c r="C56" s="60" t="s">
        <v>91</v>
      </c>
      <c r="D56" s="216" t="s">
        <v>30</v>
      </c>
      <c r="E56" s="57">
        <f t="shared" si="7"/>
        <v>0</v>
      </c>
      <c r="F56" s="135"/>
      <c r="G56" s="135"/>
      <c r="H56" s="135"/>
      <c r="I56" s="135"/>
      <c r="J56" s="135"/>
      <c r="K56" s="135"/>
      <c r="L56" s="217"/>
      <c r="M56" s="217"/>
      <c r="N56" s="135"/>
      <c r="O56" s="217"/>
      <c r="P56" s="217"/>
      <c r="Q56" s="219"/>
    </row>
    <row r="57" spans="1:19" s="206" customFormat="1" ht="16.7" customHeight="1">
      <c r="A57" s="57">
        <f>100000</f>
        <v>100000</v>
      </c>
      <c r="B57" s="57">
        <f>SUM(F57+G57+H57+I57+J57+K57+L57+M57+N57+O57+P57+Q57)</f>
        <v>0</v>
      </c>
      <c r="C57" s="60" t="s">
        <v>92</v>
      </c>
      <c r="D57" s="216" t="s">
        <v>32</v>
      </c>
      <c r="E57" s="57">
        <f t="shared" si="7"/>
        <v>0</v>
      </c>
      <c r="F57" s="135"/>
      <c r="G57" s="135"/>
      <c r="H57" s="135"/>
      <c r="I57" s="135"/>
      <c r="J57" s="135"/>
      <c r="K57" s="135"/>
      <c r="L57" s="217"/>
      <c r="M57" s="217"/>
      <c r="N57" s="135"/>
      <c r="O57" s="217"/>
      <c r="P57" s="217"/>
      <c r="Q57" s="135"/>
    </row>
    <row r="58" spans="1:19" s="206" customFormat="1" ht="16.7" customHeight="1">
      <c r="A58" s="58">
        <f>25000</f>
        <v>25000</v>
      </c>
      <c r="B58" s="57">
        <f>SUM(F58+G58+H58+I58+J58+K58+L58+M58+N58+O58+P58+Q58)</f>
        <v>0</v>
      </c>
      <c r="C58" s="60" t="s">
        <v>93</v>
      </c>
      <c r="D58" s="216" t="s">
        <v>34</v>
      </c>
      <c r="E58" s="57">
        <f t="shared" si="7"/>
        <v>0</v>
      </c>
      <c r="F58" s="135"/>
      <c r="G58" s="135"/>
      <c r="H58" s="135"/>
      <c r="I58" s="135"/>
      <c r="J58" s="135"/>
      <c r="K58" s="135"/>
      <c r="L58" s="217"/>
      <c r="M58" s="217"/>
      <c r="N58" s="135"/>
      <c r="O58" s="217"/>
      <c r="P58" s="217"/>
      <c r="Q58" s="135"/>
    </row>
    <row r="59" spans="1:19" s="206" customFormat="1" ht="16.7" customHeight="1" thickBot="1">
      <c r="A59" s="59">
        <f>SUM(A43:A58)</f>
        <v>21450000</v>
      </c>
      <c r="B59" s="220">
        <f>SUM(B44:B58)</f>
        <v>3574257.34</v>
      </c>
      <c r="C59" s="60"/>
      <c r="D59" s="216"/>
      <c r="E59" s="221">
        <f>SUM(E44:E58)</f>
        <v>1351167.1199999999</v>
      </c>
      <c r="F59" s="209" t="s">
        <v>57</v>
      </c>
      <c r="G59" s="209" t="s">
        <v>58</v>
      </c>
      <c r="H59" s="209" t="s">
        <v>59</v>
      </c>
      <c r="I59" s="209" t="s">
        <v>60</v>
      </c>
      <c r="J59" s="209" t="s">
        <v>61</v>
      </c>
      <c r="K59" s="209" t="s">
        <v>62</v>
      </c>
      <c r="L59" s="210" t="s">
        <v>63</v>
      </c>
      <c r="M59" s="210" t="s">
        <v>64</v>
      </c>
      <c r="N59" s="209" t="s">
        <v>65</v>
      </c>
      <c r="O59" s="210" t="s">
        <v>66</v>
      </c>
      <c r="P59" s="210" t="s">
        <v>67</v>
      </c>
      <c r="Q59" s="209" t="s">
        <v>68</v>
      </c>
    </row>
    <row r="60" spans="1:19" s="206" customFormat="1" ht="16.7" customHeight="1" thickTop="1">
      <c r="A60" s="222"/>
      <c r="B60" s="57">
        <f>SUM(F60+G60+H60+I60+J60+K60+L60+M60+N60+O60+P60+Q60)</f>
        <v>3525000</v>
      </c>
      <c r="C60" s="60" t="s">
        <v>94</v>
      </c>
      <c r="D60" s="216" t="s">
        <v>41</v>
      </c>
      <c r="E60" s="57">
        <f>SUM(H60)</f>
        <v>0</v>
      </c>
      <c r="F60" s="135">
        <v>2982000</v>
      </c>
      <c r="G60" s="135">
        <v>543000</v>
      </c>
      <c r="H60" s="135"/>
      <c r="I60" s="135"/>
      <c r="J60" s="135"/>
      <c r="K60" s="135"/>
      <c r="L60" s="217"/>
      <c r="M60" s="217"/>
      <c r="N60" s="135"/>
      <c r="O60" s="217"/>
      <c r="P60" s="217"/>
      <c r="Q60" s="135"/>
    </row>
    <row r="61" spans="1:19" s="206" customFormat="1" ht="16.7" customHeight="1">
      <c r="A61" s="222"/>
      <c r="B61" s="57">
        <f>SUM(F61+G61+H61+I61+J61+K61+L61+M61+N61+O61+P61+Q61)</f>
        <v>125071.26999999999</v>
      </c>
      <c r="C61" s="60" t="s">
        <v>267</v>
      </c>
      <c r="D61" s="216" t="s">
        <v>40</v>
      </c>
      <c r="E61" s="57">
        <f t="shared" ref="E61:E78" si="9">SUM(H61)</f>
        <v>18193.599999999999</v>
      </c>
      <c r="F61" s="135">
        <f>13509.31+8700+8030+10500+2400</f>
        <v>43139.31</v>
      </c>
      <c r="G61" s="135">
        <v>63738.36</v>
      </c>
      <c r="H61" s="135">
        <f>9523.6+8670</f>
        <v>18193.599999999999</v>
      </c>
      <c r="I61" s="135"/>
      <c r="J61" s="135"/>
      <c r="K61" s="135"/>
      <c r="L61" s="223"/>
      <c r="M61" s="223"/>
      <c r="N61" s="135"/>
      <c r="O61" s="223"/>
      <c r="P61" s="223"/>
      <c r="Q61" s="135"/>
    </row>
    <row r="62" spans="1:19" s="206" customFormat="1" ht="16.7" customHeight="1">
      <c r="A62" s="222" t="s">
        <v>272</v>
      </c>
      <c r="B62" s="57">
        <f>SUM(F62+G62+H62+I62+J62+K62+L62+M62+N62+O62+P62+Q62)</f>
        <v>154451.79</v>
      </c>
      <c r="C62" s="60" t="s">
        <v>406</v>
      </c>
      <c r="D62" s="216"/>
      <c r="E62" s="57">
        <f t="shared" si="9"/>
        <v>154451.79</v>
      </c>
      <c r="F62" s="135"/>
      <c r="G62" s="135"/>
      <c r="H62" s="135">
        <v>154451.79</v>
      </c>
      <c r="I62" s="135"/>
      <c r="J62" s="135"/>
      <c r="K62" s="135"/>
      <c r="L62" s="223"/>
      <c r="M62" s="223"/>
      <c r="N62" s="135"/>
      <c r="O62" s="223"/>
      <c r="P62" s="223"/>
      <c r="Q62" s="135"/>
    </row>
    <row r="63" spans="1:19" s="206" customFormat="1" ht="16.7" customHeight="1">
      <c r="A63" s="222"/>
      <c r="B63" s="57">
        <f>SUM(F63+G63+H63+I63+J63+K63+L63+M63+N63+O63+P63+Q63)</f>
        <v>237000</v>
      </c>
      <c r="C63" s="60" t="s">
        <v>95</v>
      </c>
      <c r="D63" s="216" t="s">
        <v>35</v>
      </c>
      <c r="E63" s="57">
        <f t="shared" si="9"/>
        <v>0</v>
      </c>
      <c r="F63" s="135">
        <v>226500</v>
      </c>
      <c r="G63" s="135">
        <v>10500</v>
      </c>
      <c r="H63" s="135"/>
      <c r="I63" s="135"/>
      <c r="J63" s="135"/>
      <c r="K63" s="135"/>
      <c r="L63" s="217"/>
      <c r="M63" s="217"/>
      <c r="N63" s="135"/>
      <c r="O63" s="217"/>
      <c r="P63" s="217"/>
      <c r="Q63" s="135"/>
    </row>
    <row r="64" spans="1:19" s="206" customFormat="1" ht="16.7" customHeight="1">
      <c r="A64" s="222"/>
      <c r="B64" s="57">
        <f t="shared" ref="B64" si="10">SUM(F64+G64+H64+I64+J64+K64+L64+M64+N64+O64+P64+Q64)</f>
        <v>0</v>
      </c>
      <c r="C64" s="60" t="s">
        <v>382</v>
      </c>
      <c r="D64" s="224" t="s">
        <v>36</v>
      </c>
      <c r="E64" s="57">
        <f t="shared" si="9"/>
        <v>0</v>
      </c>
      <c r="F64" s="135"/>
      <c r="G64" s="135"/>
      <c r="H64" s="135"/>
      <c r="I64" s="135"/>
      <c r="J64" s="135"/>
      <c r="K64" s="135"/>
      <c r="L64" s="217"/>
      <c r="M64" s="217"/>
      <c r="N64" s="135"/>
      <c r="O64" s="217"/>
      <c r="P64" s="217"/>
      <c r="Q64" s="135"/>
    </row>
    <row r="65" spans="1:17" s="206" customFormat="1" ht="16.7" customHeight="1">
      <c r="A65" s="222"/>
      <c r="B65" s="57">
        <f>SUM(F65:Q65)</f>
        <v>0</v>
      </c>
      <c r="C65" s="60" t="s">
        <v>96</v>
      </c>
      <c r="D65" s="224" t="s">
        <v>39</v>
      </c>
      <c r="E65" s="57">
        <f t="shared" si="9"/>
        <v>0</v>
      </c>
      <c r="F65" s="135"/>
      <c r="G65" s="135"/>
      <c r="H65" s="135"/>
      <c r="I65" s="135"/>
      <c r="J65" s="135"/>
      <c r="K65" s="135"/>
      <c r="L65" s="217"/>
      <c r="M65" s="217"/>
      <c r="N65" s="135"/>
      <c r="O65" s="217"/>
      <c r="P65" s="217"/>
      <c r="Q65" s="135"/>
    </row>
    <row r="66" spans="1:17" s="206" customFormat="1" ht="16.5" customHeight="1">
      <c r="B66" s="57">
        <f t="shared" ref="B66:B70" si="11">SUM(F66+G66+H66+I66+J66+K66+L66+M66+N66+O66+P66+Q66)</f>
        <v>210825.83999999997</v>
      </c>
      <c r="C66" s="60" t="s">
        <v>97</v>
      </c>
      <c r="D66" s="225">
        <v>210402</v>
      </c>
      <c r="E66" s="57">
        <f t="shared" si="9"/>
        <v>0</v>
      </c>
      <c r="F66" s="135"/>
      <c r="G66" s="135">
        <f>67827.76+142998.08</f>
        <v>210825.83999999997</v>
      </c>
      <c r="H66" s="135"/>
      <c r="I66" s="135"/>
      <c r="J66" s="135"/>
      <c r="K66" s="135"/>
      <c r="L66" s="217"/>
      <c r="M66" s="217"/>
      <c r="N66" s="135"/>
      <c r="O66" s="217"/>
      <c r="P66" s="217"/>
      <c r="Q66" s="135"/>
    </row>
    <row r="67" spans="1:17" s="206" customFormat="1" ht="16.7" customHeight="1">
      <c r="B67" s="57">
        <f t="shared" si="11"/>
        <v>0</v>
      </c>
      <c r="C67" s="60" t="s">
        <v>262</v>
      </c>
      <c r="D67" s="225">
        <v>110606</v>
      </c>
      <c r="E67" s="57">
        <f t="shared" si="9"/>
        <v>0</v>
      </c>
      <c r="F67" s="135"/>
      <c r="G67" s="135"/>
      <c r="H67" s="135"/>
      <c r="I67" s="135"/>
      <c r="J67" s="135"/>
      <c r="K67" s="135"/>
      <c r="L67" s="217"/>
      <c r="M67" s="217"/>
      <c r="N67" s="135"/>
      <c r="O67" s="217"/>
      <c r="P67" s="217"/>
      <c r="Q67" s="135"/>
    </row>
    <row r="68" spans="1:17" s="206" customFormat="1" ht="16.7" customHeight="1">
      <c r="B68" s="57">
        <f t="shared" si="11"/>
        <v>0</v>
      </c>
      <c r="C68" s="60" t="s">
        <v>98</v>
      </c>
      <c r="D68" s="225">
        <v>110606</v>
      </c>
      <c r="E68" s="57">
        <f t="shared" si="9"/>
        <v>0</v>
      </c>
      <c r="F68" s="135"/>
      <c r="G68" s="135"/>
      <c r="H68" s="135"/>
      <c r="I68" s="135"/>
      <c r="J68" s="135"/>
      <c r="K68" s="135"/>
      <c r="L68" s="217"/>
      <c r="M68" s="217"/>
      <c r="N68" s="135"/>
      <c r="O68" s="217"/>
      <c r="P68" s="217"/>
      <c r="Q68" s="135"/>
    </row>
    <row r="69" spans="1:17" s="206" customFormat="1" ht="16.7" customHeight="1">
      <c r="B69" s="57">
        <f t="shared" si="11"/>
        <v>0</v>
      </c>
      <c r="C69" s="60" t="s">
        <v>300</v>
      </c>
      <c r="D69" s="225">
        <v>110606</v>
      </c>
      <c r="E69" s="57">
        <f t="shared" si="9"/>
        <v>0</v>
      </c>
      <c r="F69" s="135"/>
      <c r="G69" s="135"/>
      <c r="H69" s="135"/>
      <c r="I69" s="135"/>
      <c r="J69" s="135"/>
      <c r="K69" s="135"/>
      <c r="L69" s="217"/>
      <c r="M69" s="217"/>
      <c r="N69" s="135"/>
      <c r="O69" s="217"/>
      <c r="P69" s="217"/>
      <c r="Q69" s="135"/>
    </row>
    <row r="70" spans="1:17" s="206" customFormat="1" ht="16.7" customHeight="1">
      <c r="B70" s="57">
        <f t="shared" si="11"/>
        <v>0</v>
      </c>
      <c r="C70" s="60" t="s">
        <v>99</v>
      </c>
      <c r="D70" s="225">
        <v>110606</v>
      </c>
      <c r="E70" s="57">
        <f t="shared" si="9"/>
        <v>0</v>
      </c>
      <c r="F70" s="135"/>
      <c r="G70" s="135"/>
      <c r="H70" s="135"/>
      <c r="I70" s="135"/>
      <c r="J70" s="135"/>
      <c r="K70" s="135"/>
      <c r="L70" s="217"/>
      <c r="M70" s="217"/>
      <c r="N70" s="135"/>
      <c r="O70" s="217"/>
      <c r="P70" s="217"/>
      <c r="Q70" s="135"/>
    </row>
    <row r="71" spans="1:17" s="206" customFormat="1" ht="16.7" customHeight="1">
      <c r="B71" s="57">
        <f>SUM(F71:Q71)</f>
        <v>170100</v>
      </c>
      <c r="C71" s="60" t="s">
        <v>345</v>
      </c>
      <c r="D71" s="225">
        <v>440000</v>
      </c>
      <c r="E71" s="57">
        <f t="shared" si="9"/>
        <v>56700</v>
      </c>
      <c r="F71" s="135"/>
      <c r="G71" s="135">
        <f>119070-5670</f>
        <v>113400</v>
      </c>
      <c r="H71" s="135">
        <v>56700</v>
      </c>
      <c r="I71" s="135"/>
      <c r="J71" s="135"/>
      <c r="K71" s="135"/>
      <c r="L71" s="217"/>
      <c r="M71" s="217"/>
      <c r="N71" s="135"/>
      <c r="O71" s="217"/>
      <c r="P71" s="217"/>
      <c r="Q71" s="135"/>
    </row>
    <row r="72" spans="1:17" s="206" customFormat="1" ht="16.7" customHeight="1">
      <c r="B72" s="57">
        <f t="shared" ref="B72:B75" si="12">SUM(F72+G72+H72+I72+J72+K72+L72+M72+N72+O72+P72+Q72)</f>
        <v>276630</v>
      </c>
      <c r="C72" s="60" t="s">
        <v>346</v>
      </c>
      <c r="D72" s="225">
        <v>440000</v>
      </c>
      <c r="E72" s="57">
        <f t="shared" si="9"/>
        <v>92210</v>
      </c>
      <c r="F72" s="135"/>
      <c r="G72" s="135">
        <v>184420</v>
      </c>
      <c r="H72" s="135">
        <v>92210</v>
      </c>
      <c r="I72" s="135"/>
      <c r="J72" s="135"/>
      <c r="K72" s="135"/>
      <c r="L72" s="217"/>
      <c r="M72" s="217"/>
      <c r="N72" s="135"/>
      <c r="O72" s="217"/>
      <c r="P72" s="217"/>
      <c r="Q72" s="135"/>
    </row>
    <row r="73" spans="1:17" s="206" customFormat="1" ht="16.7" customHeight="1">
      <c r="B73" s="57">
        <f t="shared" si="12"/>
        <v>0</v>
      </c>
      <c r="C73" s="60" t="s">
        <v>347</v>
      </c>
      <c r="D73" s="225">
        <v>440000</v>
      </c>
      <c r="E73" s="57">
        <f t="shared" si="9"/>
        <v>0</v>
      </c>
      <c r="F73" s="135"/>
      <c r="G73" s="135"/>
      <c r="H73" s="135"/>
      <c r="I73" s="135"/>
      <c r="J73" s="135"/>
      <c r="K73" s="135"/>
      <c r="L73" s="217"/>
      <c r="M73" s="217"/>
      <c r="N73" s="135"/>
      <c r="O73" s="217"/>
      <c r="P73" s="217"/>
      <c r="Q73" s="135"/>
    </row>
    <row r="74" spans="1:17" s="206" customFormat="1" ht="16.7" customHeight="1">
      <c r="B74" s="57">
        <f t="shared" si="12"/>
        <v>0</v>
      </c>
      <c r="C74" s="60" t="s">
        <v>384</v>
      </c>
      <c r="D74" s="225">
        <v>440000</v>
      </c>
      <c r="E74" s="57">
        <f t="shared" si="9"/>
        <v>0</v>
      </c>
      <c r="F74" s="135"/>
      <c r="G74" s="135"/>
      <c r="H74" s="135"/>
      <c r="I74" s="135"/>
      <c r="J74" s="135"/>
      <c r="K74" s="135"/>
      <c r="L74" s="217"/>
      <c r="M74" s="217"/>
      <c r="N74" s="135"/>
      <c r="O74" s="217"/>
      <c r="P74" s="217"/>
      <c r="Q74" s="135"/>
    </row>
    <row r="75" spans="1:17" s="206" customFormat="1" ht="16.7" customHeight="1">
      <c r="B75" s="57">
        <f t="shared" si="12"/>
        <v>1234500</v>
      </c>
      <c r="C75" s="60" t="s">
        <v>348</v>
      </c>
      <c r="D75" s="225">
        <v>440000</v>
      </c>
      <c r="E75" s="57">
        <f t="shared" si="9"/>
        <v>410300</v>
      </c>
      <c r="F75" s="135"/>
      <c r="G75" s="135">
        <v>824200</v>
      </c>
      <c r="H75" s="135">
        <v>410300</v>
      </c>
      <c r="I75" s="135"/>
      <c r="J75" s="135"/>
      <c r="K75" s="135"/>
      <c r="L75" s="217"/>
      <c r="M75" s="217"/>
      <c r="N75" s="135"/>
      <c r="O75" s="217"/>
      <c r="P75" s="217"/>
      <c r="Q75" s="135"/>
    </row>
    <row r="76" spans="1:17" s="206" customFormat="1" ht="16.7" customHeight="1">
      <c r="A76" s="222"/>
      <c r="B76" s="57">
        <f>SUM(F76+G76+H76+I76+J76+K76+L76+M76+N76+O76+P76+Q76)</f>
        <v>8505</v>
      </c>
      <c r="C76" s="60" t="s">
        <v>349</v>
      </c>
      <c r="D76" s="216" t="s">
        <v>299</v>
      </c>
      <c r="E76" s="57">
        <f t="shared" si="9"/>
        <v>2835</v>
      </c>
      <c r="F76" s="135"/>
      <c r="G76" s="135">
        <v>5670</v>
      </c>
      <c r="H76" s="135">
        <v>2835</v>
      </c>
      <c r="I76" s="135"/>
      <c r="J76" s="135"/>
      <c r="K76" s="135"/>
      <c r="L76" s="223"/>
      <c r="M76" s="223"/>
      <c r="N76" s="135"/>
      <c r="O76" s="223"/>
      <c r="P76" s="223"/>
      <c r="Q76" s="135"/>
    </row>
    <row r="77" spans="1:17" s="206" customFormat="1" ht="16.7" customHeight="1">
      <c r="A77" s="222"/>
      <c r="B77" s="57">
        <f>SUM(F77+G77+H77+I77+J77+K77+L77+M77+N77+O77+P77+Q77)</f>
        <v>133500</v>
      </c>
      <c r="C77" s="60" t="s">
        <v>351</v>
      </c>
      <c r="D77" s="216" t="s">
        <v>299</v>
      </c>
      <c r="E77" s="57">
        <f t="shared" si="9"/>
        <v>44500</v>
      </c>
      <c r="F77" s="135"/>
      <c r="G77" s="135">
        <v>89000</v>
      </c>
      <c r="H77" s="135">
        <v>44500</v>
      </c>
      <c r="I77" s="135"/>
      <c r="J77" s="135"/>
      <c r="K77" s="135"/>
      <c r="L77" s="217"/>
      <c r="M77" s="217"/>
      <c r="N77" s="135"/>
      <c r="O77" s="217"/>
      <c r="P77" s="217"/>
      <c r="Q77" s="135"/>
    </row>
    <row r="78" spans="1:17" s="206" customFormat="1" ht="16.7" customHeight="1">
      <c r="B78" s="57">
        <f>SUM(F78+G78+H78+I78+J78+K78+L78+M78+N78+O78+P78+Q78)</f>
        <v>3270</v>
      </c>
      <c r="C78" s="61" t="s">
        <v>350</v>
      </c>
      <c r="D78" s="226">
        <v>440000</v>
      </c>
      <c r="E78" s="57">
        <f t="shared" si="9"/>
        <v>1090</v>
      </c>
      <c r="F78" s="135"/>
      <c r="G78" s="135">
        <v>2180</v>
      </c>
      <c r="H78" s="135">
        <v>1090</v>
      </c>
      <c r="I78" s="135"/>
      <c r="J78" s="227"/>
      <c r="K78" s="135"/>
      <c r="L78" s="228"/>
      <c r="M78" s="228"/>
      <c r="N78" s="135"/>
      <c r="O78" s="217"/>
      <c r="P78" s="228"/>
      <c r="Q78" s="227"/>
    </row>
    <row r="79" spans="1:17" s="206" customFormat="1" ht="16.7" customHeight="1">
      <c r="B79" s="229">
        <f>SUM(B60:B78)</f>
        <v>6078853.9000000004</v>
      </c>
      <c r="D79" s="230"/>
      <c r="E79" s="229">
        <f>SUM(E60:E78)</f>
        <v>780280.39</v>
      </c>
      <c r="F79" s="136"/>
      <c r="G79" s="136">
        <f>SUM(G60:G78)</f>
        <v>2046934.2</v>
      </c>
      <c r="H79" s="136">
        <f t="shared" ref="H79:K79" si="13">SUM(H60:H78)</f>
        <v>780280.39</v>
      </c>
      <c r="I79" s="136">
        <f t="shared" si="13"/>
        <v>0</v>
      </c>
      <c r="J79" s="136">
        <f t="shared" si="13"/>
        <v>0</v>
      </c>
      <c r="K79" s="136">
        <f t="shared" si="13"/>
        <v>0</v>
      </c>
      <c r="N79" s="136"/>
      <c r="Q79" s="136"/>
    </row>
    <row r="80" spans="1:17" s="206" customFormat="1" ht="16.7" customHeight="1" thickBot="1">
      <c r="B80" s="221">
        <f>SUM(B59+B79)</f>
        <v>9653111.2400000002</v>
      </c>
      <c r="C80" s="231" t="s">
        <v>100</v>
      </c>
      <c r="D80" s="231"/>
      <c r="E80" s="221">
        <f>SUM(E59+E79)</f>
        <v>2131447.5099999998</v>
      </c>
      <c r="F80" s="136"/>
      <c r="G80" s="136"/>
      <c r="H80" s="136"/>
      <c r="I80" s="136"/>
      <c r="J80" s="136"/>
      <c r="K80" s="136">
        <f>2272859.7-2277420.95</f>
        <v>-4561.25</v>
      </c>
      <c r="L80" s="232"/>
      <c r="N80" s="136"/>
      <c r="P80" s="207">
        <f>SUM(E80-2103694.82)</f>
        <v>27752.689999999944</v>
      </c>
      <c r="Q80" s="136"/>
    </row>
    <row r="81" spans="2:17" s="206" customFormat="1" ht="16.7" customHeight="1" thickTop="1">
      <c r="B81" s="233">
        <f>SUM(B18-B59)</f>
        <v>2071500.0999999996</v>
      </c>
      <c r="C81" s="231" t="s">
        <v>101</v>
      </c>
      <c r="D81" s="234"/>
      <c r="E81" s="233">
        <f>SUM(E18-E59)</f>
        <v>1181147.22</v>
      </c>
      <c r="F81" s="136"/>
      <c r="G81" s="136">
        <f>SUM(E80-21777)+570</f>
        <v>2110240.5099999998</v>
      </c>
      <c r="H81" s="136"/>
      <c r="I81" s="136"/>
      <c r="J81" s="136"/>
      <c r="K81" s="136"/>
      <c r="M81" s="207">
        <f>SUM(E80-2086575.16)</f>
        <v>44872.34999999986</v>
      </c>
      <c r="N81" s="136"/>
      <c r="Q81" s="136"/>
    </row>
    <row r="82" spans="2:17" s="206" customFormat="1" ht="16.7" customHeight="1">
      <c r="B82" s="235"/>
      <c r="C82" s="206" t="s">
        <v>102</v>
      </c>
      <c r="E82" s="236"/>
      <c r="F82" s="136"/>
      <c r="G82" s="136"/>
      <c r="H82" s="136"/>
      <c r="I82" s="136"/>
      <c r="J82" s="136"/>
      <c r="K82" s="136"/>
      <c r="N82" s="136"/>
      <c r="Q82" s="136"/>
    </row>
    <row r="83" spans="2:17" s="206" customFormat="1" ht="16.7" customHeight="1">
      <c r="B83" s="226"/>
      <c r="C83" s="231" t="s">
        <v>103</v>
      </c>
      <c r="E83" s="226"/>
      <c r="F83" s="136"/>
      <c r="G83" s="136"/>
      <c r="H83" s="136"/>
      <c r="I83" s="136"/>
      <c r="J83" s="136"/>
      <c r="K83" s="136"/>
      <c r="N83" s="136"/>
      <c r="Q83" s="136"/>
    </row>
    <row r="84" spans="2:17" s="206" customFormat="1" ht="16.7" customHeight="1" thickBot="1">
      <c r="B84" s="221">
        <f>SUM(B9+B37-B80)</f>
        <v>9442837.2299999986</v>
      </c>
      <c r="C84" s="231" t="s">
        <v>104</v>
      </c>
      <c r="D84" s="231"/>
      <c r="E84" s="221">
        <f>E9+E37-E80</f>
        <v>9442837.2299999986</v>
      </c>
      <c r="F84" s="136"/>
      <c r="G84" s="136">
        <f>SUM(B84-E84)</f>
        <v>0</v>
      </c>
      <c r="H84" s="136"/>
      <c r="I84" s="136"/>
      <c r="J84" s="136"/>
      <c r="K84" s="136"/>
      <c r="N84" s="136"/>
      <c r="Q84" s="136"/>
    </row>
    <row r="85" spans="2:17" ht="19.5" thickTop="1">
      <c r="J85" s="238">
        <f>SUM(2060656.05-2060634.05)</f>
        <v>22</v>
      </c>
    </row>
    <row r="86" spans="2:17">
      <c r="E86" s="239"/>
    </row>
  </sheetData>
  <mergeCells count="7">
    <mergeCell ref="A40:B40"/>
    <mergeCell ref="A1:E1"/>
    <mergeCell ref="A2:E2"/>
    <mergeCell ref="A3:E3"/>
    <mergeCell ref="A4:E4"/>
    <mergeCell ref="A5:E5"/>
    <mergeCell ref="A6:B6"/>
  </mergeCells>
  <pageMargins left="0.25" right="0.41" top="0.3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0"/>
  <sheetViews>
    <sheetView topLeftCell="A120" zoomScale="150" zoomScaleNormal="150" workbookViewId="0">
      <selection activeCell="F141" sqref="F141"/>
    </sheetView>
  </sheetViews>
  <sheetFormatPr defaultRowHeight="14.25"/>
  <cols>
    <col min="1" max="1" width="1.875" style="1" customWidth="1"/>
    <col min="2" max="2" width="15.75" style="1" customWidth="1"/>
    <col min="3" max="3" width="7.5" style="1" customWidth="1"/>
    <col min="4" max="4" width="7.375" style="1" customWidth="1"/>
    <col min="5" max="5" width="6" style="1" customWidth="1"/>
    <col min="6" max="6" width="5.875" style="1" customWidth="1"/>
    <col min="7" max="7" width="6.375" style="1" customWidth="1"/>
    <col min="8" max="8" width="7.25" style="1" customWidth="1"/>
    <col min="9" max="9" width="5.5" style="1" customWidth="1"/>
    <col min="10" max="10" width="5.875" style="1" customWidth="1"/>
    <col min="11" max="11" width="6.875" style="1" customWidth="1"/>
    <col min="12" max="12" width="7.125" style="1" customWidth="1"/>
    <col min="13" max="13" width="5" style="1" customWidth="1"/>
    <col min="14" max="14" width="6.25" style="1" customWidth="1"/>
    <col min="15" max="15" width="4.5" style="1" customWidth="1"/>
    <col min="16" max="16" width="6.375" style="1" customWidth="1"/>
    <col min="17" max="17" width="5.875" style="1" customWidth="1"/>
    <col min="18" max="18" width="5.375" style="1" customWidth="1"/>
    <col min="19" max="19" width="4.125" style="1" customWidth="1"/>
    <col min="20" max="20" width="6.5" style="1" customWidth="1"/>
    <col min="21" max="21" width="7.625" style="1" customWidth="1"/>
    <col min="22" max="22" width="9" style="1"/>
    <col min="23" max="23" width="10.125" style="10" bestFit="1" customWidth="1"/>
    <col min="24" max="16384" width="9" style="1"/>
  </cols>
  <sheetData>
    <row r="1" spans="1:23">
      <c r="A1" s="266" t="s">
        <v>105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3">
      <c r="A2" s="266" t="s">
        <v>318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3">
      <c r="A3" s="267" t="s">
        <v>404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1:23" s="11" customFormat="1">
      <c r="A4" s="259" t="s">
        <v>107</v>
      </c>
      <c r="B4" s="260"/>
      <c r="C4" s="265" t="s">
        <v>108</v>
      </c>
      <c r="D4" s="265"/>
      <c r="E4" s="265" t="s">
        <v>109</v>
      </c>
      <c r="F4" s="265"/>
      <c r="G4" s="265" t="s">
        <v>110</v>
      </c>
      <c r="H4" s="265"/>
      <c r="I4" s="265" t="s">
        <v>111</v>
      </c>
      <c r="J4" s="265"/>
      <c r="K4" s="265" t="s">
        <v>112</v>
      </c>
      <c r="L4" s="265"/>
      <c r="M4" s="265"/>
      <c r="N4" s="168" t="s">
        <v>113</v>
      </c>
      <c r="O4" s="265" t="s">
        <v>114</v>
      </c>
      <c r="P4" s="265"/>
      <c r="Q4" s="265"/>
      <c r="R4" s="168" t="s">
        <v>115</v>
      </c>
      <c r="S4" s="168" t="s">
        <v>116</v>
      </c>
      <c r="T4" s="168" t="s">
        <v>117</v>
      </c>
      <c r="U4" s="257" t="s">
        <v>44</v>
      </c>
      <c r="W4" s="12"/>
    </row>
    <row r="5" spans="1:23">
      <c r="A5" s="261"/>
      <c r="B5" s="262"/>
      <c r="C5" s="258" t="s">
        <v>118</v>
      </c>
      <c r="D5" s="258"/>
      <c r="E5" s="257" t="s">
        <v>119</v>
      </c>
      <c r="F5" s="257"/>
      <c r="G5" s="257" t="s">
        <v>120</v>
      </c>
      <c r="H5" s="257"/>
      <c r="I5" s="258" t="s">
        <v>121</v>
      </c>
      <c r="J5" s="258"/>
      <c r="K5" s="258" t="s">
        <v>122</v>
      </c>
      <c r="L5" s="258"/>
      <c r="M5" s="258"/>
      <c r="N5" s="258" t="s">
        <v>123</v>
      </c>
      <c r="O5" s="258" t="s">
        <v>124</v>
      </c>
      <c r="P5" s="258"/>
      <c r="Q5" s="258"/>
      <c r="R5" s="258" t="s">
        <v>125</v>
      </c>
      <c r="S5" s="258" t="s">
        <v>126</v>
      </c>
      <c r="T5" s="258" t="s">
        <v>127</v>
      </c>
      <c r="U5" s="257"/>
    </row>
    <row r="6" spans="1:23">
      <c r="A6" s="261"/>
      <c r="B6" s="262"/>
      <c r="C6" s="258"/>
      <c r="D6" s="258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7"/>
    </row>
    <row r="7" spans="1:23">
      <c r="A7" s="261"/>
      <c r="B7" s="262"/>
      <c r="C7" s="258"/>
      <c r="D7" s="258"/>
      <c r="E7" s="257"/>
      <c r="F7" s="257"/>
      <c r="G7" s="257"/>
      <c r="H7" s="257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7"/>
    </row>
    <row r="8" spans="1:23" s="11" customFormat="1">
      <c r="A8" s="261"/>
      <c r="B8" s="262"/>
      <c r="C8" s="168" t="s">
        <v>128</v>
      </c>
      <c r="D8" s="168" t="s">
        <v>129</v>
      </c>
      <c r="E8" s="168" t="s">
        <v>130</v>
      </c>
      <c r="F8" s="168" t="s">
        <v>131</v>
      </c>
      <c r="G8" s="168" t="s">
        <v>132</v>
      </c>
      <c r="H8" s="168" t="s">
        <v>133</v>
      </c>
      <c r="I8" s="168" t="s">
        <v>134</v>
      </c>
      <c r="J8" s="168" t="s">
        <v>135</v>
      </c>
      <c r="K8" s="168" t="s">
        <v>136</v>
      </c>
      <c r="L8" s="168" t="s">
        <v>137</v>
      </c>
      <c r="M8" s="168" t="s">
        <v>138</v>
      </c>
      <c r="N8" s="168" t="s">
        <v>139</v>
      </c>
      <c r="O8" s="168" t="s">
        <v>140</v>
      </c>
      <c r="P8" s="168" t="s">
        <v>141</v>
      </c>
      <c r="Q8" s="168" t="s">
        <v>142</v>
      </c>
      <c r="R8" s="168" t="s">
        <v>143</v>
      </c>
      <c r="S8" s="168" t="s">
        <v>144</v>
      </c>
      <c r="T8" s="168" t="s">
        <v>145</v>
      </c>
      <c r="U8" s="257"/>
      <c r="W8" s="12"/>
    </row>
    <row r="9" spans="1:23" s="13" customFormat="1">
      <c r="A9" s="261"/>
      <c r="B9" s="262"/>
      <c r="C9" s="258" t="s">
        <v>146</v>
      </c>
      <c r="D9" s="258" t="s">
        <v>147</v>
      </c>
      <c r="E9" s="258" t="s">
        <v>148</v>
      </c>
      <c r="F9" s="258" t="s">
        <v>149</v>
      </c>
      <c r="G9" s="258" t="s">
        <v>150</v>
      </c>
      <c r="H9" s="258" t="s">
        <v>151</v>
      </c>
      <c r="I9" s="258" t="s">
        <v>152</v>
      </c>
      <c r="J9" s="258" t="s">
        <v>153</v>
      </c>
      <c r="K9" s="258" t="s">
        <v>154</v>
      </c>
      <c r="L9" s="258" t="s">
        <v>155</v>
      </c>
      <c r="M9" s="258" t="s">
        <v>156</v>
      </c>
      <c r="N9" s="258" t="s">
        <v>157</v>
      </c>
      <c r="O9" s="258" t="s">
        <v>158</v>
      </c>
      <c r="P9" s="258" t="s">
        <v>159</v>
      </c>
      <c r="Q9" s="258" t="s">
        <v>160</v>
      </c>
      <c r="R9" s="258" t="s">
        <v>161</v>
      </c>
      <c r="S9" s="258" t="s">
        <v>162</v>
      </c>
      <c r="T9" s="258" t="s">
        <v>163</v>
      </c>
      <c r="U9" s="257"/>
      <c r="W9" s="12"/>
    </row>
    <row r="10" spans="1:23" s="13" customFormat="1">
      <c r="A10" s="261"/>
      <c r="B10" s="262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7"/>
      <c r="W10" s="12"/>
    </row>
    <row r="11" spans="1:23">
      <c r="A11" s="261"/>
      <c r="B11" s="262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7"/>
    </row>
    <row r="12" spans="1:23">
      <c r="A12" s="263"/>
      <c r="B12" s="264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7"/>
    </row>
    <row r="13" spans="1:23">
      <c r="A13" s="14" t="s">
        <v>163</v>
      </c>
      <c r="B13" s="1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>
      <c r="A14" s="16"/>
      <c r="B14" s="17" t="s">
        <v>164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>SUM(C14:T14)</f>
        <v>0</v>
      </c>
    </row>
    <row r="15" spans="1:23">
      <c r="A15" s="16"/>
      <c r="B15" s="17" t="s">
        <v>288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ref="U15:U21" si="0">SUM(C15:T15)</f>
        <v>0</v>
      </c>
    </row>
    <row r="16" spans="1:23">
      <c r="A16" s="16"/>
      <c r="B16" s="43" t="s">
        <v>165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0"/>
        <v>0</v>
      </c>
    </row>
    <row r="17" spans="1:24">
      <c r="A17" s="16"/>
      <c r="B17" s="17" t="s">
        <v>166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0"/>
        <v>0</v>
      </c>
    </row>
    <row r="18" spans="1:24">
      <c r="A18" s="16"/>
      <c r="B18" s="17" t="s">
        <v>167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0"/>
        <v>0</v>
      </c>
    </row>
    <row r="19" spans="1:24">
      <c r="A19" s="16"/>
      <c r="B19" s="17" t="s">
        <v>168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0"/>
        <v>0</v>
      </c>
    </row>
    <row r="20" spans="1:24">
      <c r="A20" s="16"/>
      <c r="B20" s="17" t="s">
        <v>169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>SUM(C20:T20)</f>
        <v>0</v>
      </c>
    </row>
    <row r="21" spans="1:24">
      <c r="A21" s="16"/>
      <c r="B21" s="17" t="s">
        <v>170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0"/>
        <v>0</v>
      </c>
    </row>
    <row r="22" spans="1:24" s="22" customFormat="1">
      <c r="A22" s="18" t="s">
        <v>171</v>
      </c>
      <c r="B22" s="19"/>
      <c r="C22" s="4">
        <f>SUM(C14:C21)</f>
        <v>0</v>
      </c>
      <c r="D22" s="4">
        <f t="shared" ref="D22:T22" si="1">SUM(D14:D21)</f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>
        <f t="shared" si="1"/>
        <v>0</v>
      </c>
      <c r="L22" s="4">
        <f t="shared" si="1"/>
        <v>0</v>
      </c>
      <c r="M22" s="4">
        <f t="shared" si="1"/>
        <v>0</v>
      </c>
      <c r="N22" s="4">
        <f t="shared" si="1"/>
        <v>0</v>
      </c>
      <c r="O22" s="4">
        <f t="shared" si="1"/>
        <v>0</v>
      </c>
      <c r="P22" s="4">
        <f t="shared" si="1"/>
        <v>0</v>
      </c>
      <c r="Q22" s="4">
        <f t="shared" si="1"/>
        <v>0</v>
      </c>
      <c r="R22" s="4">
        <f t="shared" si="1"/>
        <v>0</v>
      </c>
      <c r="S22" s="4">
        <f t="shared" si="1"/>
        <v>0</v>
      </c>
      <c r="T22" s="4">
        <f t="shared" si="1"/>
        <v>0</v>
      </c>
      <c r="U22" s="4">
        <f>SUM(U14:U21)</f>
        <v>0</v>
      </c>
      <c r="V22" s="20"/>
      <c r="W22" s="21"/>
      <c r="X22" s="20"/>
    </row>
    <row r="23" spans="1:24" s="25" customFormat="1">
      <c r="A23" s="29" t="s">
        <v>172</v>
      </c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f>SUM(C23:T23)</f>
        <v>0</v>
      </c>
      <c r="V23" s="23"/>
      <c r="W23" s="24"/>
      <c r="X23" s="23"/>
    </row>
    <row r="24" spans="1:24">
      <c r="A24" s="31" t="s">
        <v>173</v>
      </c>
      <c r="B24" s="3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4">
      <c r="A25" s="16"/>
      <c r="B25" s="17" t="s">
        <v>174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>SUM(C25:T25)</f>
        <v>0</v>
      </c>
    </row>
    <row r="26" spans="1:24">
      <c r="A26" s="16"/>
      <c r="B26" s="17" t="s">
        <v>175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>SUM(C26:T26)</f>
        <v>0</v>
      </c>
    </row>
    <row r="27" spans="1:24">
      <c r="A27" s="16"/>
      <c r="B27" s="17" t="s">
        <v>176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>SUM(C27:T27)</f>
        <v>0</v>
      </c>
    </row>
    <row r="28" spans="1:24" s="22" customFormat="1">
      <c r="A28" s="18" t="s">
        <v>171</v>
      </c>
      <c r="B28" s="19"/>
      <c r="C28" s="4">
        <f t="shared" ref="C28:U28" si="2">SUM(C25:C27)</f>
        <v>0</v>
      </c>
      <c r="D28" s="4">
        <f t="shared" si="2"/>
        <v>0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 t="shared" si="2"/>
        <v>0</v>
      </c>
      <c r="O28" s="4">
        <f t="shared" si="2"/>
        <v>0</v>
      </c>
      <c r="P28" s="4">
        <f t="shared" si="2"/>
        <v>0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  <c r="U28" s="4">
        <f t="shared" si="2"/>
        <v>0</v>
      </c>
      <c r="W28" s="27"/>
    </row>
    <row r="29" spans="1:24" s="25" customFormat="1">
      <c r="A29" s="29" t="s">
        <v>172</v>
      </c>
      <c r="B29" s="3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f>SUM(C29:T29)</f>
        <v>0</v>
      </c>
      <c r="W29" s="28"/>
    </row>
    <row r="30" spans="1:24">
      <c r="A30" s="31" t="s">
        <v>177</v>
      </c>
      <c r="B30" s="3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4">
      <c r="A31" s="16"/>
      <c r="B31" s="17" t="s">
        <v>178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>SUM(C31:T31)</f>
        <v>0</v>
      </c>
    </row>
    <row r="32" spans="1:24">
      <c r="A32" s="16"/>
      <c r="B32" s="17" t="s">
        <v>179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ref="U32:U38" si="3">SUM(C32:T32)</f>
        <v>0</v>
      </c>
    </row>
    <row r="33" spans="1:28">
      <c r="A33" s="16"/>
      <c r="B33" s="17" t="s">
        <v>180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3"/>
        <v>0</v>
      </c>
    </row>
    <row r="34" spans="1:28">
      <c r="A34" s="16"/>
      <c r="B34" s="17" t="s">
        <v>181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3"/>
        <v>0</v>
      </c>
    </row>
    <row r="35" spans="1:28">
      <c r="A35" s="16"/>
      <c r="B35" s="17" t="s">
        <v>182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3"/>
        <v>0</v>
      </c>
    </row>
    <row r="36" spans="1:28">
      <c r="A36" s="16"/>
      <c r="B36" s="17" t="s">
        <v>183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f t="shared" si="3"/>
        <v>0</v>
      </c>
    </row>
    <row r="37" spans="1:28">
      <c r="A37" s="16"/>
      <c r="B37" s="17" t="s">
        <v>184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>
        <f t="shared" si="3"/>
        <v>0</v>
      </c>
    </row>
    <row r="38" spans="1:28" s="22" customFormat="1">
      <c r="A38" s="18" t="s">
        <v>171</v>
      </c>
      <c r="B38" s="19"/>
      <c r="C38" s="4">
        <f>SUM(C31:C37)</f>
        <v>0</v>
      </c>
      <c r="D38" s="4">
        <f t="shared" ref="D38:T38" si="4">SUM(D31:D37)</f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4">
        <f t="shared" si="4"/>
        <v>0</v>
      </c>
      <c r="O38" s="4">
        <f t="shared" si="4"/>
        <v>0</v>
      </c>
      <c r="P38" s="4">
        <f t="shared" si="4"/>
        <v>0</v>
      </c>
      <c r="Q38" s="4">
        <f t="shared" si="4"/>
        <v>0</v>
      </c>
      <c r="R38" s="4">
        <f t="shared" si="4"/>
        <v>0</v>
      </c>
      <c r="S38" s="4">
        <f t="shared" si="4"/>
        <v>0</v>
      </c>
      <c r="T38" s="4">
        <f t="shared" si="4"/>
        <v>0</v>
      </c>
      <c r="U38" s="4">
        <f t="shared" si="3"/>
        <v>0</v>
      </c>
      <c r="V38" s="20"/>
      <c r="W38" s="21">
        <f>SUM(U38+U28)</f>
        <v>0</v>
      </c>
      <c r="X38" s="20"/>
      <c r="Y38" s="20"/>
      <c r="Z38" s="20"/>
      <c r="AA38" s="20"/>
      <c r="AB38" s="20"/>
    </row>
    <row r="39" spans="1:28" s="25" customFormat="1">
      <c r="A39" s="29" t="s">
        <v>172</v>
      </c>
      <c r="B39" s="3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f>SUM(C39:T39)</f>
        <v>0</v>
      </c>
      <c r="V39" s="23"/>
      <c r="W39" s="24"/>
      <c r="X39" s="23"/>
      <c r="Y39" s="23"/>
      <c r="Z39" s="23"/>
      <c r="AA39" s="23"/>
      <c r="AB39" s="23"/>
    </row>
    <row r="40" spans="1:28" s="11" customFormat="1" ht="12" customHeight="1">
      <c r="A40" s="259" t="s">
        <v>107</v>
      </c>
      <c r="B40" s="260"/>
      <c r="C40" s="265" t="s">
        <v>108</v>
      </c>
      <c r="D40" s="265"/>
      <c r="E40" s="265" t="s">
        <v>109</v>
      </c>
      <c r="F40" s="265"/>
      <c r="G40" s="265" t="s">
        <v>110</v>
      </c>
      <c r="H40" s="265"/>
      <c r="I40" s="265" t="s">
        <v>111</v>
      </c>
      <c r="J40" s="265"/>
      <c r="K40" s="265" t="s">
        <v>112</v>
      </c>
      <c r="L40" s="265"/>
      <c r="M40" s="265"/>
      <c r="N40" s="168" t="s">
        <v>113</v>
      </c>
      <c r="O40" s="265" t="s">
        <v>114</v>
      </c>
      <c r="P40" s="265"/>
      <c r="Q40" s="265"/>
      <c r="R40" s="168" t="s">
        <v>115</v>
      </c>
      <c r="S40" s="168" t="s">
        <v>116</v>
      </c>
      <c r="T40" s="168" t="s">
        <v>117</v>
      </c>
      <c r="U40" s="257" t="s">
        <v>44</v>
      </c>
      <c r="W40" s="12"/>
    </row>
    <row r="41" spans="1:28" ht="14.1" customHeight="1">
      <c r="A41" s="261"/>
      <c r="B41" s="262"/>
      <c r="C41" s="258" t="s">
        <v>118</v>
      </c>
      <c r="D41" s="258"/>
      <c r="E41" s="257" t="s">
        <v>119</v>
      </c>
      <c r="F41" s="257"/>
      <c r="G41" s="257" t="s">
        <v>120</v>
      </c>
      <c r="H41" s="257"/>
      <c r="I41" s="258" t="s">
        <v>121</v>
      </c>
      <c r="J41" s="258"/>
      <c r="K41" s="258" t="s">
        <v>122</v>
      </c>
      <c r="L41" s="258"/>
      <c r="M41" s="258"/>
      <c r="N41" s="258" t="s">
        <v>123</v>
      </c>
      <c r="O41" s="258" t="s">
        <v>124</v>
      </c>
      <c r="P41" s="258"/>
      <c r="Q41" s="258"/>
      <c r="R41" s="258" t="s">
        <v>125</v>
      </c>
      <c r="S41" s="258" t="s">
        <v>126</v>
      </c>
      <c r="T41" s="258" t="s">
        <v>127</v>
      </c>
      <c r="U41" s="257"/>
    </row>
    <row r="42" spans="1:28" ht="12.75" customHeight="1">
      <c r="A42" s="261"/>
      <c r="B42" s="262"/>
      <c r="C42" s="258"/>
      <c r="D42" s="258"/>
      <c r="E42" s="257"/>
      <c r="F42" s="257"/>
      <c r="G42" s="257"/>
      <c r="H42" s="257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7"/>
    </row>
    <row r="43" spans="1:28" ht="14.1" customHeight="1">
      <c r="A43" s="261"/>
      <c r="B43" s="262"/>
      <c r="C43" s="258"/>
      <c r="D43" s="258"/>
      <c r="E43" s="257"/>
      <c r="F43" s="257"/>
      <c r="G43" s="257"/>
      <c r="H43" s="257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7"/>
    </row>
    <row r="44" spans="1:28" s="11" customFormat="1" ht="14.1" customHeight="1">
      <c r="A44" s="261"/>
      <c r="B44" s="262"/>
      <c r="C44" s="168" t="s">
        <v>128</v>
      </c>
      <c r="D44" s="168" t="s">
        <v>129</v>
      </c>
      <c r="E44" s="168" t="s">
        <v>130</v>
      </c>
      <c r="F44" s="168" t="s">
        <v>131</v>
      </c>
      <c r="G44" s="168" t="s">
        <v>132</v>
      </c>
      <c r="H44" s="168" t="s">
        <v>133</v>
      </c>
      <c r="I44" s="168" t="s">
        <v>134</v>
      </c>
      <c r="J44" s="168" t="s">
        <v>135</v>
      </c>
      <c r="K44" s="168" t="s">
        <v>136</v>
      </c>
      <c r="L44" s="168" t="s">
        <v>137</v>
      </c>
      <c r="M44" s="168" t="s">
        <v>138</v>
      </c>
      <c r="N44" s="168" t="s">
        <v>139</v>
      </c>
      <c r="O44" s="168" t="s">
        <v>140</v>
      </c>
      <c r="P44" s="168" t="s">
        <v>141</v>
      </c>
      <c r="Q44" s="168" t="s">
        <v>142</v>
      </c>
      <c r="R44" s="168" t="s">
        <v>143</v>
      </c>
      <c r="S44" s="168" t="s">
        <v>144</v>
      </c>
      <c r="T44" s="168" t="s">
        <v>145</v>
      </c>
      <c r="U44" s="257"/>
      <c r="W44" s="12"/>
    </row>
    <row r="45" spans="1:28" s="13" customFormat="1" ht="14.1" customHeight="1">
      <c r="A45" s="261"/>
      <c r="B45" s="262"/>
      <c r="C45" s="258" t="s">
        <v>146</v>
      </c>
      <c r="D45" s="258" t="s">
        <v>147</v>
      </c>
      <c r="E45" s="258" t="s">
        <v>148</v>
      </c>
      <c r="F45" s="258" t="s">
        <v>149</v>
      </c>
      <c r="G45" s="258" t="s">
        <v>150</v>
      </c>
      <c r="H45" s="258" t="s">
        <v>151</v>
      </c>
      <c r="I45" s="258" t="s">
        <v>152</v>
      </c>
      <c r="J45" s="258" t="s">
        <v>153</v>
      </c>
      <c r="K45" s="258" t="s">
        <v>154</v>
      </c>
      <c r="L45" s="258" t="s">
        <v>155</v>
      </c>
      <c r="M45" s="258" t="s">
        <v>156</v>
      </c>
      <c r="N45" s="258" t="s">
        <v>157</v>
      </c>
      <c r="O45" s="258" t="s">
        <v>158</v>
      </c>
      <c r="P45" s="258" t="s">
        <v>159</v>
      </c>
      <c r="Q45" s="258" t="s">
        <v>160</v>
      </c>
      <c r="R45" s="258" t="s">
        <v>161</v>
      </c>
      <c r="S45" s="258" t="s">
        <v>162</v>
      </c>
      <c r="T45" s="258" t="s">
        <v>163</v>
      </c>
      <c r="U45" s="257"/>
      <c r="W45" s="12"/>
    </row>
    <row r="46" spans="1:28" s="13" customFormat="1" ht="14.1" customHeight="1">
      <c r="A46" s="261"/>
      <c r="B46" s="262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7"/>
      <c r="W46" s="12"/>
    </row>
    <row r="47" spans="1:28" ht="14.1" customHeight="1">
      <c r="A47" s="261"/>
      <c r="B47" s="262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7"/>
    </row>
    <row r="48" spans="1:28" ht="15" customHeight="1">
      <c r="A48" s="263"/>
      <c r="B48" s="264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7"/>
    </row>
    <row r="49" spans="1:29" ht="14.1" customHeight="1">
      <c r="A49" s="14" t="s">
        <v>19</v>
      </c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9" ht="14.1" customHeight="1">
      <c r="A50" s="16"/>
      <c r="B50" s="42" t="s">
        <v>185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f>SUM(C50:T50)</f>
        <v>0</v>
      </c>
    </row>
    <row r="51" spans="1:29" ht="14.1" customHeight="1">
      <c r="A51" s="16"/>
      <c r="B51" s="17" t="s">
        <v>186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f t="shared" ref="U51:U56" si="5">SUM(C51:T51)</f>
        <v>0</v>
      </c>
    </row>
    <row r="52" spans="1:29" ht="14.1" customHeight="1">
      <c r="A52" s="16"/>
      <c r="B52" s="44" t="s">
        <v>187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f t="shared" si="5"/>
        <v>0</v>
      </c>
    </row>
    <row r="53" spans="1:29" ht="14.1" customHeight="1">
      <c r="A53" s="16"/>
      <c r="B53" s="17" t="s">
        <v>188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>
        <f t="shared" si="5"/>
        <v>0</v>
      </c>
    </row>
    <row r="54" spans="1:29" ht="14.1" customHeight="1">
      <c r="A54" s="16"/>
      <c r="B54" s="17" t="s">
        <v>189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>
        <f t="shared" si="5"/>
        <v>0</v>
      </c>
    </row>
    <row r="55" spans="1:29" ht="14.1" customHeight="1">
      <c r="A55" s="16"/>
      <c r="B55" s="17" t="s">
        <v>190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f t="shared" si="5"/>
        <v>0</v>
      </c>
    </row>
    <row r="56" spans="1:29" s="22" customFormat="1" ht="14.1" customHeight="1">
      <c r="A56" s="18" t="s">
        <v>171</v>
      </c>
      <c r="B56" s="19"/>
      <c r="C56" s="4">
        <f>SUM(C50:C55)</f>
        <v>0</v>
      </c>
      <c r="D56" s="4">
        <f t="shared" ref="D56:T56" si="6">SUM(D50:D55)</f>
        <v>0</v>
      </c>
      <c r="E56" s="4">
        <f t="shared" si="6"/>
        <v>0</v>
      </c>
      <c r="F56" s="4">
        <f t="shared" si="6"/>
        <v>0</v>
      </c>
      <c r="G56" s="4">
        <f t="shared" si="6"/>
        <v>0</v>
      </c>
      <c r="H56" s="4">
        <f t="shared" si="6"/>
        <v>0</v>
      </c>
      <c r="I56" s="4">
        <f t="shared" si="6"/>
        <v>0</v>
      </c>
      <c r="J56" s="4">
        <f t="shared" si="6"/>
        <v>0</v>
      </c>
      <c r="K56" s="4">
        <f t="shared" si="6"/>
        <v>0</v>
      </c>
      <c r="L56" s="4">
        <f t="shared" si="6"/>
        <v>0</v>
      </c>
      <c r="M56" s="4">
        <f t="shared" si="6"/>
        <v>0</v>
      </c>
      <c r="N56" s="4">
        <f t="shared" si="6"/>
        <v>0</v>
      </c>
      <c r="O56" s="4">
        <f t="shared" si="6"/>
        <v>0</v>
      </c>
      <c r="P56" s="4">
        <f t="shared" si="6"/>
        <v>0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  <c r="U56" s="4">
        <f t="shared" si="5"/>
        <v>0</v>
      </c>
      <c r="V56" s="20"/>
      <c r="W56" s="21"/>
      <c r="X56" s="20"/>
      <c r="Y56" s="20"/>
      <c r="Z56" s="20"/>
      <c r="AA56" s="20"/>
      <c r="AB56" s="20"/>
      <c r="AC56" s="20"/>
    </row>
    <row r="57" spans="1:29" s="25" customFormat="1" ht="14.1" customHeight="1">
      <c r="A57" s="29" t="s">
        <v>172</v>
      </c>
      <c r="B57" s="3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f>SUM(C57:T57)</f>
        <v>0</v>
      </c>
      <c r="W57" s="28"/>
    </row>
    <row r="58" spans="1:29" ht="14.1" customHeight="1">
      <c r="A58" s="31" t="s">
        <v>21</v>
      </c>
      <c r="B58" s="3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9" ht="14.1" customHeight="1">
      <c r="A59" s="16"/>
      <c r="B59" s="17" t="s">
        <v>191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f>SUM(C59:T59)</f>
        <v>0</v>
      </c>
    </row>
    <row r="60" spans="1:29" ht="14.1" customHeight="1">
      <c r="A60" s="16"/>
      <c r="B60" s="44" t="s">
        <v>192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>
        <f>SUM(C60:T60)</f>
        <v>0</v>
      </c>
    </row>
    <row r="61" spans="1:29" ht="14.1" customHeight="1">
      <c r="A61" s="16"/>
      <c r="B61" s="17" t="s">
        <v>193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>
        <f>SUM(C61:T61)</f>
        <v>0</v>
      </c>
    </row>
    <row r="62" spans="1:29" ht="14.1" customHeight="1">
      <c r="A62" s="16"/>
      <c r="B62" s="17" t="s">
        <v>194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f>SUM(C62:T62)</f>
        <v>0</v>
      </c>
    </row>
    <row r="63" spans="1:29" ht="14.1" customHeight="1">
      <c r="A63" s="16"/>
      <c r="B63" s="17" t="s">
        <v>195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>
        <f>SUM(C63:T63)</f>
        <v>0</v>
      </c>
    </row>
    <row r="64" spans="1:29" s="22" customFormat="1" ht="14.1" customHeight="1">
      <c r="A64" s="18" t="s">
        <v>171</v>
      </c>
      <c r="B64" s="19"/>
      <c r="C64" s="4">
        <f>SUM(C59:C63)</f>
        <v>0</v>
      </c>
      <c r="D64" s="4">
        <f t="shared" ref="D64:U64" si="7">SUM(D59:D63)</f>
        <v>0</v>
      </c>
      <c r="E64" s="4">
        <f t="shared" si="7"/>
        <v>0</v>
      </c>
      <c r="F64" s="4">
        <f t="shared" si="7"/>
        <v>0</v>
      </c>
      <c r="G64" s="4">
        <f t="shared" si="7"/>
        <v>0</v>
      </c>
      <c r="H64" s="4">
        <f t="shared" si="7"/>
        <v>0</v>
      </c>
      <c r="I64" s="4">
        <f t="shared" si="7"/>
        <v>0</v>
      </c>
      <c r="J64" s="4">
        <f t="shared" si="7"/>
        <v>0</v>
      </c>
      <c r="K64" s="4">
        <f t="shared" si="7"/>
        <v>0</v>
      </c>
      <c r="L64" s="4">
        <f t="shared" si="7"/>
        <v>0</v>
      </c>
      <c r="M64" s="4">
        <f t="shared" si="7"/>
        <v>0</v>
      </c>
      <c r="N64" s="4">
        <f t="shared" si="7"/>
        <v>0</v>
      </c>
      <c r="O64" s="4">
        <f t="shared" si="7"/>
        <v>0</v>
      </c>
      <c r="P64" s="4">
        <f t="shared" si="7"/>
        <v>0</v>
      </c>
      <c r="Q64" s="4">
        <f t="shared" si="7"/>
        <v>0</v>
      </c>
      <c r="R64" s="4">
        <f t="shared" si="7"/>
        <v>0</v>
      </c>
      <c r="S64" s="4">
        <f t="shared" si="7"/>
        <v>0</v>
      </c>
      <c r="T64" s="4">
        <f t="shared" si="7"/>
        <v>0</v>
      </c>
      <c r="U64" s="4">
        <f t="shared" si="7"/>
        <v>0</v>
      </c>
      <c r="V64" s="20"/>
      <c r="W64" s="21"/>
      <c r="X64" s="20"/>
      <c r="Y64" s="20"/>
      <c r="Z64" s="20"/>
      <c r="AA64" s="20"/>
      <c r="AB64" s="20"/>
    </row>
    <row r="65" spans="1:28" s="25" customFormat="1" ht="14.1" customHeight="1">
      <c r="A65" s="29" t="s">
        <v>172</v>
      </c>
      <c r="B65" s="30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f>SUM(C65:T65)</f>
        <v>0</v>
      </c>
      <c r="W65" s="28"/>
    </row>
    <row r="66" spans="1:28" ht="14.1" customHeight="1">
      <c r="A66" s="31" t="s">
        <v>23</v>
      </c>
      <c r="B66" s="3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8" ht="14.1" customHeight="1">
      <c r="A67" s="16"/>
      <c r="B67" s="17" t="s">
        <v>196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>
        <f>SUM(C67:T67)</f>
        <v>0</v>
      </c>
    </row>
    <row r="68" spans="1:28" ht="14.1" customHeight="1">
      <c r="A68" s="16"/>
      <c r="B68" s="17" t="s">
        <v>197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>
        <f t="shared" ref="U68:U77" si="8">SUM(C68:T68)</f>
        <v>0</v>
      </c>
    </row>
    <row r="69" spans="1:28" ht="14.1" customHeight="1">
      <c r="A69" s="16"/>
      <c r="B69" s="17" t="s">
        <v>198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>
        <f t="shared" si="8"/>
        <v>0</v>
      </c>
    </row>
    <row r="70" spans="1:28" ht="14.1" customHeight="1">
      <c r="A70" s="16"/>
      <c r="B70" s="17" t="s">
        <v>199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>
        <f t="shared" si="8"/>
        <v>0</v>
      </c>
    </row>
    <row r="71" spans="1:28" ht="14.1" customHeight="1">
      <c r="A71" s="16"/>
      <c r="B71" s="17" t="s">
        <v>200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>
        <f t="shared" si="8"/>
        <v>0</v>
      </c>
    </row>
    <row r="72" spans="1:28" ht="14.1" customHeight="1">
      <c r="A72" s="16"/>
      <c r="B72" s="17" t="s">
        <v>201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>
        <f>SUM(C72:T72)</f>
        <v>0</v>
      </c>
    </row>
    <row r="73" spans="1:28" ht="14.1" customHeight="1">
      <c r="A73" s="16"/>
      <c r="B73" s="17" t="s">
        <v>273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>
        <f t="shared" si="8"/>
        <v>0</v>
      </c>
    </row>
    <row r="74" spans="1:28" ht="14.1" customHeight="1">
      <c r="A74" s="16"/>
      <c r="B74" s="17" t="s">
        <v>202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>
        <f t="shared" si="8"/>
        <v>0</v>
      </c>
    </row>
    <row r="75" spans="1:28" ht="14.1" customHeight="1">
      <c r="A75" s="16"/>
      <c r="B75" s="17" t="s">
        <v>276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>
        <f>SUM(C75:T75)</f>
        <v>0</v>
      </c>
    </row>
    <row r="76" spans="1:28" ht="14.1" customHeight="1">
      <c r="A76" s="16"/>
      <c r="B76" s="17" t="s">
        <v>203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f t="shared" si="8"/>
        <v>0</v>
      </c>
    </row>
    <row r="77" spans="1:28" ht="14.1" customHeight="1">
      <c r="A77" s="16"/>
      <c r="B77" s="17" t="s">
        <v>204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>
        <f t="shared" si="8"/>
        <v>0</v>
      </c>
    </row>
    <row r="78" spans="1:28" s="22" customFormat="1" ht="13.5" customHeight="1">
      <c r="A78" s="18" t="s">
        <v>171</v>
      </c>
      <c r="B78" s="19"/>
      <c r="C78" s="4">
        <f>SUM(C67:C77)</f>
        <v>0</v>
      </c>
      <c r="D78" s="4">
        <f t="shared" ref="D78:U78" si="9">SUM(D67:D77)</f>
        <v>0</v>
      </c>
      <c r="E78" s="4">
        <f t="shared" si="9"/>
        <v>0</v>
      </c>
      <c r="F78" s="4">
        <f t="shared" si="9"/>
        <v>0</v>
      </c>
      <c r="G78" s="4">
        <f t="shared" si="9"/>
        <v>0</v>
      </c>
      <c r="H78" s="4">
        <f t="shared" si="9"/>
        <v>0</v>
      </c>
      <c r="I78" s="4">
        <f t="shared" si="9"/>
        <v>0</v>
      </c>
      <c r="J78" s="4">
        <f t="shared" si="9"/>
        <v>0</v>
      </c>
      <c r="K78" s="4">
        <f t="shared" si="9"/>
        <v>0</v>
      </c>
      <c r="L78" s="4">
        <f t="shared" si="9"/>
        <v>0</v>
      </c>
      <c r="M78" s="4">
        <f t="shared" si="9"/>
        <v>0</v>
      </c>
      <c r="N78" s="4">
        <f t="shared" si="9"/>
        <v>0</v>
      </c>
      <c r="O78" s="4">
        <f t="shared" si="9"/>
        <v>0</v>
      </c>
      <c r="P78" s="4">
        <f t="shared" si="9"/>
        <v>0</v>
      </c>
      <c r="Q78" s="4">
        <f t="shared" si="9"/>
        <v>0</v>
      </c>
      <c r="R78" s="4">
        <f t="shared" si="9"/>
        <v>0</v>
      </c>
      <c r="S78" s="4">
        <f t="shared" si="9"/>
        <v>0</v>
      </c>
      <c r="T78" s="4">
        <f t="shared" si="9"/>
        <v>0</v>
      </c>
      <c r="U78" s="4">
        <f t="shared" si="9"/>
        <v>0</v>
      </c>
      <c r="V78" s="20"/>
      <c r="W78" s="21"/>
      <c r="X78" s="20"/>
      <c r="Y78" s="20"/>
      <c r="Z78" s="20"/>
      <c r="AA78" s="20"/>
      <c r="AB78" s="20"/>
    </row>
    <row r="79" spans="1:28" s="25" customFormat="1" ht="12" customHeight="1">
      <c r="A79" s="29" t="s">
        <v>172</v>
      </c>
      <c r="B79" s="3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>
        <f>SUM(C79:T79)</f>
        <v>0</v>
      </c>
      <c r="W79" s="28"/>
    </row>
    <row r="80" spans="1:28" s="11" customFormat="1">
      <c r="A80" s="259" t="s">
        <v>107</v>
      </c>
      <c r="B80" s="260"/>
      <c r="C80" s="265" t="s">
        <v>108</v>
      </c>
      <c r="D80" s="265"/>
      <c r="E80" s="265" t="s">
        <v>109</v>
      </c>
      <c r="F80" s="265"/>
      <c r="G80" s="265" t="s">
        <v>110</v>
      </c>
      <c r="H80" s="265"/>
      <c r="I80" s="265" t="s">
        <v>111</v>
      </c>
      <c r="J80" s="265"/>
      <c r="K80" s="265" t="s">
        <v>112</v>
      </c>
      <c r="L80" s="265"/>
      <c r="M80" s="265"/>
      <c r="N80" s="168" t="s">
        <v>113</v>
      </c>
      <c r="O80" s="265" t="s">
        <v>114</v>
      </c>
      <c r="P80" s="265"/>
      <c r="Q80" s="265"/>
      <c r="R80" s="168" t="s">
        <v>115</v>
      </c>
      <c r="S80" s="168" t="s">
        <v>116</v>
      </c>
      <c r="T80" s="168" t="s">
        <v>117</v>
      </c>
      <c r="U80" s="257" t="s">
        <v>44</v>
      </c>
      <c r="W80" s="12"/>
    </row>
    <row r="81" spans="1:28">
      <c r="A81" s="261"/>
      <c r="B81" s="262"/>
      <c r="C81" s="258" t="s">
        <v>118</v>
      </c>
      <c r="D81" s="258"/>
      <c r="E81" s="257" t="s">
        <v>119</v>
      </c>
      <c r="F81" s="257"/>
      <c r="G81" s="257" t="s">
        <v>120</v>
      </c>
      <c r="H81" s="257"/>
      <c r="I81" s="258" t="s">
        <v>121</v>
      </c>
      <c r="J81" s="258"/>
      <c r="K81" s="258" t="s">
        <v>122</v>
      </c>
      <c r="L81" s="258"/>
      <c r="M81" s="258"/>
      <c r="N81" s="258" t="s">
        <v>123</v>
      </c>
      <c r="O81" s="258" t="s">
        <v>124</v>
      </c>
      <c r="P81" s="258"/>
      <c r="Q81" s="258"/>
      <c r="R81" s="258" t="s">
        <v>125</v>
      </c>
      <c r="S81" s="258" t="s">
        <v>126</v>
      </c>
      <c r="T81" s="258" t="s">
        <v>127</v>
      </c>
      <c r="U81" s="257"/>
    </row>
    <row r="82" spans="1:28">
      <c r="A82" s="261"/>
      <c r="B82" s="262"/>
      <c r="C82" s="258"/>
      <c r="D82" s="258"/>
      <c r="E82" s="257"/>
      <c r="F82" s="257"/>
      <c r="G82" s="257"/>
      <c r="H82" s="257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7"/>
    </row>
    <row r="83" spans="1:28">
      <c r="A83" s="261"/>
      <c r="B83" s="262"/>
      <c r="C83" s="258"/>
      <c r="D83" s="258"/>
      <c r="E83" s="257"/>
      <c r="F83" s="257"/>
      <c r="G83" s="257"/>
      <c r="H83" s="257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7"/>
    </row>
    <row r="84" spans="1:28" s="11" customFormat="1">
      <c r="A84" s="261"/>
      <c r="B84" s="262"/>
      <c r="C84" s="168" t="s">
        <v>128</v>
      </c>
      <c r="D84" s="168" t="s">
        <v>129</v>
      </c>
      <c r="E84" s="168" t="s">
        <v>130</v>
      </c>
      <c r="F84" s="168" t="s">
        <v>131</v>
      </c>
      <c r="G84" s="168" t="s">
        <v>132</v>
      </c>
      <c r="H84" s="168" t="s">
        <v>133</v>
      </c>
      <c r="I84" s="168" t="s">
        <v>134</v>
      </c>
      <c r="J84" s="168" t="s">
        <v>135</v>
      </c>
      <c r="K84" s="168" t="s">
        <v>136</v>
      </c>
      <c r="L84" s="168" t="s">
        <v>137</v>
      </c>
      <c r="M84" s="168" t="s">
        <v>138</v>
      </c>
      <c r="N84" s="168" t="s">
        <v>139</v>
      </c>
      <c r="O84" s="168" t="s">
        <v>140</v>
      </c>
      <c r="P84" s="168" t="s">
        <v>141</v>
      </c>
      <c r="Q84" s="168" t="s">
        <v>142</v>
      </c>
      <c r="R84" s="168" t="s">
        <v>143</v>
      </c>
      <c r="S84" s="168" t="s">
        <v>144</v>
      </c>
      <c r="T84" s="168" t="s">
        <v>145</v>
      </c>
      <c r="U84" s="257"/>
      <c r="W84" s="12"/>
    </row>
    <row r="85" spans="1:28" s="13" customFormat="1">
      <c r="A85" s="261"/>
      <c r="B85" s="262"/>
      <c r="C85" s="258" t="s">
        <v>146</v>
      </c>
      <c r="D85" s="258" t="s">
        <v>147</v>
      </c>
      <c r="E85" s="258" t="s">
        <v>148</v>
      </c>
      <c r="F85" s="258" t="s">
        <v>149</v>
      </c>
      <c r="G85" s="258" t="s">
        <v>150</v>
      </c>
      <c r="H85" s="258" t="s">
        <v>151</v>
      </c>
      <c r="I85" s="258" t="s">
        <v>152</v>
      </c>
      <c r="J85" s="258" t="s">
        <v>153</v>
      </c>
      <c r="K85" s="258" t="s">
        <v>154</v>
      </c>
      <c r="L85" s="258" t="s">
        <v>155</v>
      </c>
      <c r="M85" s="258" t="s">
        <v>156</v>
      </c>
      <c r="N85" s="258" t="s">
        <v>157</v>
      </c>
      <c r="O85" s="258" t="s">
        <v>158</v>
      </c>
      <c r="P85" s="258" t="s">
        <v>159</v>
      </c>
      <c r="Q85" s="258" t="s">
        <v>160</v>
      </c>
      <c r="R85" s="258" t="s">
        <v>161</v>
      </c>
      <c r="S85" s="258" t="s">
        <v>162</v>
      </c>
      <c r="T85" s="258" t="s">
        <v>163</v>
      </c>
      <c r="U85" s="257"/>
      <c r="W85" s="12"/>
    </row>
    <row r="86" spans="1:28" s="13" customFormat="1">
      <c r="A86" s="261"/>
      <c r="B86" s="262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7"/>
      <c r="W86" s="12"/>
    </row>
    <row r="87" spans="1:28">
      <c r="A87" s="261"/>
      <c r="B87" s="262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7"/>
    </row>
    <row r="88" spans="1:28">
      <c r="A88" s="263"/>
      <c r="B88" s="264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7"/>
    </row>
    <row r="89" spans="1:28">
      <c r="A89" s="31" t="s">
        <v>25</v>
      </c>
      <c r="B89" s="3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4"/>
      <c r="X89" s="33"/>
      <c r="Y89" s="33"/>
      <c r="Z89" s="33"/>
      <c r="AA89" s="33"/>
      <c r="AB89" s="33"/>
    </row>
    <row r="90" spans="1:28">
      <c r="A90" s="16"/>
      <c r="B90" s="17" t="s">
        <v>205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>
        <f>SUM(C90:T90)</f>
        <v>0</v>
      </c>
      <c r="V90" s="33"/>
      <c r="W90" s="34"/>
      <c r="X90" s="33"/>
      <c r="Y90" s="33"/>
      <c r="Z90" s="33"/>
      <c r="AA90" s="33"/>
      <c r="AB90" s="33"/>
    </row>
    <row r="91" spans="1:28">
      <c r="A91" s="16"/>
      <c r="B91" s="17" t="s">
        <v>206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>
        <f>SUM(C91:T91)</f>
        <v>0</v>
      </c>
      <c r="V91" s="33"/>
      <c r="W91" s="34"/>
      <c r="X91" s="33"/>
      <c r="Y91" s="33"/>
      <c r="Z91" s="33"/>
      <c r="AA91" s="33"/>
      <c r="AB91" s="33"/>
    </row>
    <row r="92" spans="1:28">
      <c r="A92" s="16"/>
      <c r="B92" s="17" t="s">
        <v>207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>
        <f>SUM(C92:T92)</f>
        <v>0</v>
      </c>
      <c r="V92" s="33"/>
      <c r="W92" s="34"/>
      <c r="X92" s="33"/>
      <c r="Y92" s="33"/>
      <c r="Z92" s="33"/>
      <c r="AA92" s="33"/>
      <c r="AB92" s="33"/>
    </row>
    <row r="93" spans="1:28">
      <c r="A93" s="16"/>
      <c r="B93" s="17" t="s">
        <v>208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>
        <f>SUM(C93:T93)</f>
        <v>0</v>
      </c>
      <c r="V93" s="33"/>
      <c r="W93" s="34"/>
      <c r="X93" s="33"/>
      <c r="Y93" s="33"/>
      <c r="Z93" s="33"/>
      <c r="AA93" s="33"/>
      <c r="AB93" s="33"/>
    </row>
    <row r="94" spans="1:28">
      <c r="A94" s="16"/>
      <c r="B94" s="17" t="s">
        <v>270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>
        <f>SUM(C94:T94)</f>
        <v>0</v>
      </c>
      <c r="V94" s="33"/>
      <c r="W94" s="34"/>
      <c r="X94" s="33"/>
      <c r="Y94" s="33"/>
      <c r="Z94" s="33"/>
      <c r="AA94" s="33"/>
      <c r="AB94" s="33"/>
    </row>
    <row r="95" spans="1:28" s="22" customFormat="1">
      <c r="A95" s="18" t="s">
        <v>171</v>
      </c>
      <c r="B95" s="19"/>
      <c r="C95" s="4">
        <f>SUM(C90:C94)</f>
        <v>0</v>
      </c>
      <c r="D95" s="4">
        <f t="shared" ref="D95:T95" si="10">SUM(D90:D93)</f>
        <v>0</v>
      </c>
      <c r="E95" s="4">
        <f t="shared" si="10"/>
        <v>0</v>
      </c>
      <c r="F95" s="4">
        <f t="shared" si="10"/>
        <v>0</v>
      </c>
      <c r="G95" s="4">
        <f t="shared" si="10"/>
        <v>0</v>
      </c>
      <c r="H95" s="4">
        <f t="shared" si="10"/>
        <v>0</v>
      </c>
      <c r="I95" s="4">
        <f t="shared" si="10"/>
        <v>0</v>
      </c>
      <c r="J95" s="4">
        <f t="shared" si="10"/>
        <v>0</v>
      </c>
      <c r="K95" s="4">
        <f t="shared" si="10"/>
        <v>0</v>
      </c>
      <c r="L95" s="4">
        <f t="shared" si="10"/>
        <v>0</v>
      </c>
      <c r="M95" s="4">
        <f t="shared" si="10"/>
        <v>0</v>
      </c>
      <c r="N95" s="4">
        <f t="shared" si="10"/>
        <v>0</v>
      </c>
      <c r="O95" s="4">
        <f t="shared" si="10"/>
        <v>0</v>
      </c>
      <c r="P95" s="4">
        <f t="shared" si="10"/>
        <v>0</v>
      </c>
      <c r="Q95" s="4">
        <f t="shared" si="10"/>
        <v>0</v>
      </c>
      <c r="R95" s="4">
        <f t="shared" si="10"/>
        <v>0</v>
      </c>
      <c r="S95" s="4">
        <f t="shared" si="10"/>
        <v>0</v>
      </c>
      <c r="T95" s="4">
        <f t="shared" si="10"/>
        <v>0</v>
      </c>
      <c r="U95" s="4">
        <f>SUM(U90:U94)</f>
        <v>0</v>
      </c>
      <c r="V95" s="20"/>
      <c r="W95" s="21"/>
      <c r="X95" s="20"/>
      <c r="Y95" s="20"/>
      <c r="Z95" s="20"/>
      <c r="AA95" s="20"/>
      <c r="AB95" s="20"/>
    </row>
    <row r="96" spans="1:28" s="25" customFormat="1">
      <c r="A96" s="29" t="s">
        <v>172</v>
      </c>
      <c r="B96" s="30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f>SUM(C96:T96)</f>
        <v>0</v>
      </c>
      <c r="W96" s="28"/>
    </row>
    <row r="97" spans="1:28">
      <c r="A97" s="14" t="s">
        <v>27</v>
      </c>
      <c r="B97" s="1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33"/>
      <c r="W97" s="34"/>
      <c r="X97" s="33"/>
      <c r="Y97" s="33"/>
      <c r="Z97" s="33"/>
      <c r="AA97" s="33"/>
      <c r="AB97" s="33"/>
    </row>
    <row r="98" spans="1:28">
      <c r="A98" s="16"/>
      <c r="B98" s="17" t="s">
        <v>209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>
        <f>SUM(C98:T98)</f>
        <v>0</v>
      </c>
      <c r="V98" s="33"/>
      <c r="W98" s="34"/>
      <c r="X98" s="33"/>
      <c r="Y98" s="33"/>
      <c r="Z98" s="33"/>
      <c r="AA98" s="33"/>
      <c r="AB98" s="33"/>
    </row>
    <row r="99" spans="1:28">
      <c r="A99" s="16"/>
      <c r="B99" s="17" t="s">
        <v>210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>
        <f>SUM(C99:T99)</f>
        <v>0</v>
      </c>
      <c r="V99" s="33"/>
      <c r="W99" s="34"/>
      <c r="X99" s="33"/>
      <c r="Y99" s="33"/>
      <c r="Z99" s="33"/>
      <c r="AA99" s="33"/>
      <c r="AB99" s="33"/>
    </row>
    <row r="100" spans="1:28">
      <c r="A100" s="16"/>
      <c r="B100" s="17" t="s">
        <v>211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>
        <f>SUM(C100:T100)</f>
        <v>0</v>
      </c>
      <c r="V100" s="33"/>
      <c r="W100" s="34"/>
      <c r="X100" s="33"/>
      <c r="Y100" s="33"/>
      <c r="Z100" s="33"/>
      <c r="AA100" s="33"/>
      <c r="AB100" s="33"/>
    </row>
    <row r="101" spans="1:28" s="22" customFormat="1">
      <c r="A101" s="18" t="s">
        <v>171</v>
      </c>
      <c r="B101" s="19"/>
      <c r="C101" s="4">
        <f>SUM(C98:C100)</f>
        <v>0</v>
      </c>
      <c r="D101" s="4">
        <f t="shared" ref="D101:T101" si="11">SUM(D98:D100)</f>
        <v>0</v>
      </c>
      <c r="E101" s="4">
        <f t="shared" si="11"/>
        <v>0</v>
      </c>
      <c r="F101" s="4">
        <f t="shared" si="11"/>
        <v>0</v>
      </c>
      <c r="G101" s="4">
        <f t="shared" si="11"/>
        <v>0</v>
      </c>
      <c r="H101" s="4">
        <f t="shared" si="11"/>
        <v>0</v>
      </c>
      <c r="I101" s="4">
        <f t="shared" si="11"/>
        <v>0</v>
      </c>
      <c r="J101" s="4">
        <f t="shared" si="11"/>
        <v>0</v>
      </c>
      <c r="K101" s="4">
        <f t="shared" si="11"/>
        <v>0</v>
      </c>
      <c r="L101" s="4">
        <f t="shared" si="11"/>
        <v>0</v>
      </c>
      <c r="M101" s="4">
        <f t="shared" si="11"/>
        <v>0</v>
      </c>
      <c r="N101" s="4">
        <f t="shared" si="11"/>
        <v>0</v>
      </c>
      <c r="O101" s="4">
        <f t="shared" si="11"/>
        <v>0</v>
      </c>
      <c r="P101" s="4">
        <f t="shared" si="11"/>
        <v>0</v>
      </c>
      <c r="Q101" s="4">
        <f t="shared" si="11"/>
        <v>0</v>
      </c>
      <c r="R101" s="4">
        <f t="shared" si="11"/>
        <v>0</v>
      </c>
      <c r="S101" s="4">
        <f t="shared" si="11"/>
        <v>0</v>
      </c>
      <c r="T101" s="4">
        <f t="shared" si="11"/>
        <v>0</v>
      </c>
      <c r="U101" s="4">
        <f>SUM(C101:T101)</f>
        <v>0</v>
      </c>
      <c r="V101" s="20"/>
      <c r="W101" s="21"/>
      <c r="X101" s="20"/>
      <c r="Y101" s="20"/>
      <c r="Z101" s="20"/>
      <c r="AA101" s="20"/>
      <c r="AB101" s="20"/>
    </row>
    <row r="102" spans="1:28" s="25" customFormat="1">
      <c r="A102" s="29" t="s">
        <v>172</v>
      </c>
      <c r="B102" s="30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>
        <f>SUM(C102:T102)</f>
        <v>0</v>
      </c>
      <c r="W102" s="28"/>
    </row>
    <row r="103" spans="1:28">
      <c r="A103" s="31" t="s">
        <v>29</v>
      </c>
      <c r="B103" s="3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3"/>
      <c r="W103" s="34"/>
      <c r="X103" s="33"/>
      <c r="Y103" s="33"/>
      <c r="Z103" s="33"/>
      <c r="AA103" s="33"/>
      <c r="AB103" s="33"/>
    </row>
    <row r="104" spans="1:28">
      <c r="A104" s="16"/>
      <c r="B104" s="17" t="s">
        <v>212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>
        <f t="shared" ref="U104:U118" si="12">SUM(C104:T104)</f>
        <v>0</v>
      </c>
      <c r="V104" s="33"/>
      <c r="W104" s="34"/>
      <c r="X104" s="33"/>
      <c r="Y104" s="33"/>
      <c r="Z104" s="33"/>
      <c r="AA104" s="33"/>
      <c r="AB104" s="33"/>
    </row>
    <row r="105" spans="1:28">
      <c r="A105" s="16"/>
      <c r="B105" s="17" t="s">
        <v>285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3"/>
      <c r="W105" s="34"/>
      <c r="X105" s="33"/>
      <c r="Y105" s="33"/>
      <c r="Z105" s="33"/>
      <c r="AA105" s="33"/>
      <c r="AB105" s="33"/>
    </row>
    <row r="106" spans="1:28">
      <c r="A106" s="16"/>
      <c r="B106" s="17" t="s">
        <v>286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>
        <f t="shared" si="12"/>
        <v>0</v>
      </c>
      <c r="V106" s="33"/>
      <c r="W106" s="34"/>
      <c r="X106" s="33"/>
      <c r="Y106" s="33"/>
      <c r="Z106" s="33"/>
      <c r="AA106" s="33"/>
      <c r="AB106" s="33"/>
    </row>
    <row r="107" spans="1:28">
      <c r="A107" s="16"/>
      <c r="B107" s="17" t="s">
        <v>275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3"/>
      <c r="W107" s="34"/>
      <c r="X107" s="33"/>
      <c r="Y107" s="33"/>
      <c r="Z107" s="33"/>
      <c r="AA107" s="33"/>
      <c r="AB107" s="33"/>
    </row>
    <row r="108" spans="1:28">
      <c r="A108" s="16"/>
      <c r="B108" s="17" t="s">
        <v>213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>
        <f t="shared" si="12"/>
        <v>0</v>
      </c>
      <c r="V108" s="33"/>
      <c r="W108" s="34"/>
      <c r="X108" s="33"/>
      <c r="Y108" s="33"/>
      <c r="Z108" s="33"/>
      <c r="AA108" s="33"/>
      <c r="AB108" s="33"/>
    </row>
    <row r="109" spans="1:28">
      <c r="A109" s="16"/>
      <c r="B109" s="17" t="s">
        <v>214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>
        <f t="shared" si="12"/>
        <v>0</v>
      </c>
      <c r="V109" s="33"/>
      <c r="W109" s="34"/>
      <c r="X109" s="33"/>
      <c r="Y109" s="33"/>
      <c r="Z109" s="33"/>
      <c r="AA109" s="33"/>
      <c r="AB109" s="33"/>
    </row>
    <row r="110" spans="1:28">
      <c r="A110" s="16"/>
      <c r="B110" s="17" t="s">
        <v>215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>
        <f t="shared" si="12"/>
        <v>0</v>
      </c>
      <c r="V110" s="33"/>
      <c r="W110" s="34"/>
      <c r="X110" s="33"/>
      <c r="Y110" s="33"/>
      <c r="Z110" s="33"/>
      <c r="AA110" s="33"/>
      <c r="AB110" s="33"/>
    </row>
    <row r="111" spans="1:28">
      <c r="A111" s="16"/>
      <c r="B111" s="17" t="s">
        <v>216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>
        <f t="shared" si="12"/>
        <v>0</v>
      </c>
      <c r="V111" s="33"/>
      <c r="W111" s="34"/>
      <c r="X111" s="33"/>
      <c r="Y111" s="33"/>
      <c r="Z111" s="33"/>
      <c r="AA111" s="33"/>
      <c r="AB111" s="33"/>
    </row>
    <row r="112" spans="1:28">
      <c r="A112" s="16"/>
      <c r="B112" s="17" t="s">
        <v>326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>
        <f t="shared" si="12"/>
        <v>0</v>
      </c>
      <c r="V112" s="33"/>
      <c r="W112" s="34"/>
      <c r="X112" s="33"/>
      <c r="Y112" s="33"/>
      <c r="Z112" s="33"/>
      <c r="AA112" s="33"/>
      <c r="AB112" s="33"/>
    </row>
    <row r="113" spans="1:28" s="22" customFormat="1">
      <c r="A113" s="18" t="s">
        <v>171</v>
      </c>
      <c r="B113" s="19"/>
      <c r="C113" s="4">
        <f>SUM(C104:C112)</f>
        <v>0</v>
      </c>
      <c r="D113" s="4">
        <f t="shared" ref="D113:T113" si="13">SUM(D104:D112)</f>
        <v>0</v>
      </c>
      <c r="E113" s="4">
        <f t="shared" si="13"/>
        <v>0</v>
      </c>
      <c r="F113" s="4">
        <f t="shared" si="13"/>
        <v>0</v>
      </c>
      <c r="G113" s="4">
        <f t="shared" si="13"/>
        <v>0</v>
      </c>
      <c r="H113" s="4">
        <f t="shared" si="13"/>
        <v>0</v>
      </c>
      <c r="I113" s="4">
        <f t="shared" si="13"/>
        <v>0</v>
      </c>
      <c r="J113" s="4">
        <f t="shared" si="13"/>
        <v>0</v>
      </c>
      <c r="K113" s="4">
        <f t="shared" si="13"/>
        <v>0</v>
      </c>
      <c r="L113" s="4">
        <f t="shared" si="13"/>
        <v>0</v>
      </c>
      <c r="M113" s="4">
        <f t="shared" si="13"/>
        <v>0</v>
      </c>
      <c r="N113" s="4">
        <f t="shared" si="13"/>
        <v>0</v>
      </c>
      <c r="O113" s="4">
        <f t="shared" si="13"/>
        <v>0</v>
      </c>
      <c r="P113" s="4">
        <f t="shared" si="13"/>
        <v>0</v>
      </c>
      <c r="Q113" s="4">
        <f t="shared" si="13"/>
        <v>0</v>
      </c>
      <c r="R113" s="4">
        <f t="shared" si="13"/>
        <v>0</v>
      </c>
      <c r="S113" s="4">
        <f t="shared" si="13"/>
        <v>0</v>
      </c>
      <c r="T113" s="4">
        <f t="shared" si="13"/>
        <v>0</v>
      </c>
      <c r="U113" s="4">
        <f t="shared" si="12"/>
        <v>0</v>
      </c>
      <c r="V113" s="20"/>
      <c r="W113" s="21"/>
      <c r="X113" s="20"/>
      <c r="Y113" s="20"/>
      <c r="Z113" s="20"/>
      <c r="AA113" s="20"/>
      <c r="AB113" s="20"/>
    </row>
    <row r="114" spans="1:28" s="25" customFormat="1">
      <c r="A114" s="29" t="s">
        <v>172</v>
      </c>
      <c r="B114" s="30"/>
      <c r="C114" s="5">
        <v>2982000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>
        <f t="shared" si="12"/>
        <v>2982000</v>
      </c>
      <c r="W114" s="28"/>
    </row>
    <row r="115" spans="1:28">
      <c r="A115" s="31" t="s">
        <v>31</v>
      </c>
      <c r="B115" s="32"/>
      <c r="C115" s="6"/>
      <c r="D115" s="6"/>
      <c r="E115" s="6"/>
      <c r="F115" s="6"/>
      <c r="G115" s="6"/>
      <c r="H115" s="6"/>
      <c r="I115" s="6"/>
      <c r="J115" s="6"/>
      <c r="K115" s="6">
        <v>543000</v>
      </c>
      <c r="L115" s="6"/>
      <c r="M115" s="6"/>
      <c r="N115" s="6"/>
      <c r="O115" s="6"/>
      <c r="P115" s="6"/>
      <c r="Q115" s="6"/>
      <c r="R115" s="6"/>
      <c r="S115" s="6"/>
      <c r="T115" s="6"/>
      <c r="U115" s="7">
        <f t="shared" si="12"/>
        <v>543000</v>
      </c>
      <c r="V115" s="33"/>
      <c r="W115" s="34"/>
      <c r="X115" s="33"/>
      <c r="Y115" s="33"/>
      <c r="Z115" s="33"/>
      <c r="AA115" s="33"/>
      <c r="AB115" s="33"/>
    </row>
    <row r="116" spans="1:28">
      <c r="A116" s="26" t="s">
        <v>38</v>
      </c>
      <c r="B116" s="1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7">
        <f t="shared" si="12"/>
        <v>0</v>
      </c>
      <c r="V116" s="33"/>
      <c r="W116" s="34"/>
      <c r="X116" s="33"/>
      <c r="Y116" s="33"/>
      <c r="Z116" s="33"/>
      <c r="AA116" s="33"/>
      <c r="AB116" s="33"/>
    </row>
    <row r="117" spans="1:28" s="22" customFormat="1">
      <c r="A117" s="18" t="s">
        <v>171</v>
      </c>
      <c r="B117" s="19"/>
      <c r="C117" s="8">
        <f>SUM(C116)</f>
        <v>0</v>
      </c>
      <c r="D117" s="8">
        <f t="shared" ref="D117:T117" si="14">SUM(D116)</f>
        <v>0</v>
      </c>
      <c r="E117" s="8">
        <f t="shared" si="14"/>
        <v>0</v>
      </c>
      <c r="F117" s="8">
        <f t="shared" si="14"/>
        <v>0</v>
      </c>
      <c r="G117" s="8">
        <f t="shared" si="14"/>
        <v>0</v>
      </c>
      <c r="H117" s="8">
        <f t="shared" si="14"/>
        <v>0</v>
      </c>
      <c r="I117" s="8">
        <f t="shared" si="14"/>
        <v>0</v>
      </c>
      <c r="J117" s="8">
        <f t="shared" si="14"/>
        <v>0</v>
      </c>
      <c r="K117" s="8">
        <f>SUM(K115:K116)</f>
        <v>543000</v>
      </c>
      <c r="L117" s="8">
        <f>SUM(L115:L116)</f>
        <v>0</v>
      </c>
      <c r="M117" s="8">
        <f t="shared" si="14"/>
        <v>0</v>
      </c>
      <c r="N117" s="8">
        <f t="shared" si="14"/>
        <v>0</v>
      </c>
      <c r="O117" s="8">
        <f t="shared" si="14"/>
        <v>0</v>
      </c>
      <c r="P117" s="8">
        <f t="shared" si="14"/>
        <v>0</v>
      </c>
      <c r="Q117" s="8">
        <f t="shared" si="14"/>
        <v>0</v>
      </c>
      <c r="R117" s="8">
        <f t="shared" si="14"/>
        <v>0</v>
      </c>
      <c r="S117" s="8">
        <f t="shared" si="14"/>
        <v>0</v>
      </c>
      <c r="T117" s="8">
        <f t="shared" si="14"/>
        <v>0</v>
      </c>
      <c r="U117" s="8">
        <f t="shared" si="12"/>
        <v>543000</v>
      </c>
      <c r="V117" s="20"/>
      <c r="W117" s="21">
        <f>SUM(U118-C118)</f>
        <v>543000</v>
      </c>
      <c r="X117" s="20"/>
      <c r="Y117" s="20"/>
      <c r="Z117" s="20"/>
      <c r="AA117" s="20"/>
      <c r="AB117" s="20"/>
    </row>
    <row r="118" spans="1:28" s="25" customFormat="1">
      <c r="A118" s="29" t="s">
        <v>172</v>
      </c>
      <c r="B118" s="30"/>
      <c r="C118" s="48">
        <v>0</v>
      </c>
      <c r="D118" s="48"/>
      <c r="E118" s="48"/>
      <c r="F118" s="48"/>
      <c r="G118" s="48"/>
      <c r="H118" s="48">
        <v>0</v>
      </c>
      <c r="I118" s="48"/>
      <c r="J118" s="48"/>
      <c r="K118" s="48">
        <v>543000</v>
      </c>
      <c r="L118" s="48"/>
      <c r="M118" s="48"/>
      <c r="N118" s="48"/>
      <c r="O118" s="48"/>
      <c r="P118" s="48"/>
      <c r="Q118" s="48"/>
      <c r="R118" s="48"/>
      <c r="S118" s="48"/>
      <c r="T118" s="48"/>
      <c r="U118" s="48">
        <f t="shared" si="12"/>
        <v>543000</v>
      </c>
      <c r="W118" s="28"/>
    </row>
    <row r="119" spans="1:28" s="11" customFormat="1">
      <c r="A119" s="259" t="s">
        <v>107</v>
      </c>
      <c r="B119" s="260"/>
      <c r="C119" s="265" t="s">
        <v>108</v>
      </c>
      <c r="D119" s="265"/>
      <c r="E119" s="265" t="s">
        <v>109</v>
      </c>
      <c r="F119" s="265"/>
      <c r="G119" s="265" t="s">
        <v>110</v>
      </c>
      <c r="H119" s="265"/>
      <c r="I119" s="265" t="s">
        <v>111</v>
      </c>
      <c r="J119" s="265"/>
      <c r="K119" s="265" t="s">
        <v>112</v>
      </c>
      <c r="L119" s="265"/>
      <c r="M119" s="265"/>
      <c r="N119" s="168" t="s">
        <v>113</v>
      </c>
      <c r="O119" s="265" t="s">
        <v>114</v>
      </c>
      <c r="P119" s="265"/>
      <c r="Q119" s="265"/>
      <c r="R119" s="168" t="s">
        <v>115</v>
      </c>
      <c r="S119" s="168" t="s">
        <v>116</v>
      </c>
      <c r="T119" s="168" t="s">
        <v>117</v>
      </c>
      <c r="U119" s="257" t="s">
        <v>44</v>
      </c>
      <c r="W119" s="12"/>
    </row>
    <row r="120" spans="1:28">
      <c r="A120" s="261"/>
      <c r="B120" s="262"/>
      <c r="C120" s="258" t="s">
        <v>118</v>
      </c>
      <c r="D120" s="258"/>
      <c r="E120" s="257" t="s">
        <v>119</v>
      </c>
      <c r="F120" s="257"/>
      <c r="G120" s="257" t="s">
        <v>120</v>
      </c>
      <c r="H120" s="257"/>
      <c r="I120" s="258" t="s">
        <v>121</v>
      </c>
      <c r="J120" s="258"/>
      <c r="K120" s="258" t="s">
        <v>122</v>
      </c>
      <c r="L120" s="258"/>
      <c r="M120" s="258"/>
      <c r="N120" s="258" t="s">
        <v>123</v>
      </c>
      <c r="O120" s="258" t="s">
        <v>124</v>
      </c>
      <c r="P120" s="258"/>
      <c r="Q120" s="258"/>
      <c r="R120" s="258" t="s">
        <v>125</v>
      </c>
      <c r="S120" s="258" t="s">
        <v>126</v>
      </c>
      <c r="T120" s="258" t="s">
        <v>127</v>
      </c>
      <c r="U120" s="257"/>
    </row>
    <row r="121" spans="1:28">
      <c r="A121" s="261"/>
      <c r="B121" s="262"/>
      <c r="C121" s="258"/>
      <c r="D121" s="258"/>
      <c r="E121" s="257"/>
      <c r="F121" s="257"/>
      <c r="G121" s="257"/>
      <c r="H121" s="257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7"/>
    </row>
    <row r="122" spans="1:28">
      <c r="A122" s="261"/>
      <c r="B122" s="262"/>
      <c r="C122" s="258"/>
      <c r="D122" s="258"/>
      <c r="E122" s="257"/>
      <c r="F122" s="257"/>
      <c r="G122" s="257"/>
      <c r="H122" s="257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7"/>
    </row>
    <row r="123" spans="1:28" s="11" customFormat="1">
      <c r="A123" s="261"/>
      <c r="B123" s="262"/>
      <c r="C123" s="168" t="s">
        <v>128</v>
      </c>
      <c r="D123" s="168" t="s">
        <v>129</v>
      </c>
      <c r="E123" s="168" t="s">
        <v>130</v>
      </c>
      <c r="F123" s="168" t="s">
        <v>131</v>
      </c>
      <c r="G123" s="168" t="s">
        <v>132</v>
      </c>
      <c r="H123" s="168" t="s">
        <v>133</v>
      </c>
      <c r="I123" s="168" t="s">
        <v>134</v>
      </c>
      <c r="J123" s="168" t="s">
        <v>135</v>
      </c>
      <c r="K123" s="168" t="s">
        <v>136</v>
      </c>
      <c r="L123" s="168" t="s">
        <v>137</v>
      </c>
      <c r="M123" s="168" t="s">
        <v>138</v>
      </c>
      <c r="N123" s="168" t="s">
        <v>139</v>
      </c>
      <c r="O123" s="168" t="s">
        <v>140</v>
      </c>
      <c r="P123" s="168" t="s">
        <v>141</v>
      </c>
      <c r="Q123" s="168" t="s">
        <v>142</v>
      </c>
      <c r="R123" s="168" t="s">
        <v>143</v>
      </c>
      <c r="S123" s="168" t="s">
        <v>144</v>
      </c>
      <c r="T123" s="168" t="s">
        <v>145</v>
      </c>
      <c r="U123" s="257"/>
      <c r="W123" s="12"/>
    </row>
    <row r="124" spans="1:28" s="13" customFormat="1">
      <c r="A124" s="261"/>
      <c r="B124" s="262"/>
      <c r="C124" s="258" t="s">
        <v>146</v>
      </c>
      <c r="D124" s="258" t="s">
        <v>147</v>
      </c>
      <c r="E124" s="258" t="s">
        <v>148</v>
      </c>
      <c r="F124" s="258" t="s">
        <v>149</v>
      </c>
      <c r="G124" s="258" t="s">
        <v>150</v>
      </c>
      <c r="H124" s="258" t="s">
        <v>151</v>
      </c>
      <c r="I124" s="258" t="s">
        <v>152</v>
      </c>
      <c r="J124" s="258" t="s">
        <v>153</v>
      </c>
      <c r="K124" s="258" t="s">
        <v>154</v>
      </c>
      <c r="L124" s="258" t="s">
        <v>155</v>
      </c>
      <c r="M124" s="258" t="s">
        <v>156</v>
      </c>
      <c r="N124" s="258" t="s">
        <v>157</v>
      </c>
      <c r="O124" s="258" t="s">
        <v>158</v>
      </c>
      <c r="P124" s="258" t="s">
        <v>159</v>
      </c>
      <c r="Q124" s="258" t="s">
        <v>160</v>
      </c>
      <c r="R124" s="258" t="s">
        <v>161</v>
      </c>
      <c r="S124" s="258" t="s">
        <v>162</v>
      </c>
      <c r="T124" s="258" t="s">
        <v>163</v>
      </c>
      <c r="U124" s="257"/>
      <c r="W124" s="12"/>
    </row>
    <row r="125" spans="1:28" s="13" customFormat="1">
      <c r="A125" s="261"/>
      <c r="B125" s="262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7"/>
      <c r="W125" s="12"/>
    </row>
    <row r="126" spans="1:28">
      <c r="A126" s="261"/>
      <c r="B126" s="262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7"/>
    </row>
    <row r="127" spans="1:28">
      <c r="A127" s="263"/>
      <c r="B127" s="264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7"/>
    </row>
    <row r="128" spans="1:28">
      <c r="A128" s="31" t="s">
        <v>352</v>
      </c>
      <c r="B128" s="3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7">
        <f t="shared" ref="U128:U131" si="15">SUM(C128:T128)</f>
        <v>0</v>
      </c>
      <c r="V128" s="33"/>
      <c r="W128" s="34"/>
      <c r="X128" s="33"/>
      <c r="Y128" s="33"/>
      <c r="Z128" s="33"/>
      <c r="AA128" s="33"/>
      <c r="AB128" s="33"/>
    </row>
    <row r="129" spans="1:28">
      <c r="A129" s="26"/>
      <c r="B129" s="1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7">
        <f t="shared" si="15"/>
        <v>0</v>
      </c>
      <c r="V129" s="33"/>
      <c r="W129" s="34"/>
      <c r="X129" s="33"/>
      <c r="Y129" s="33"/>
      <c r="Z129" s="33"/>
      <c r="AA129" s="33"/>
      <c r="AB129" s="33"/>
    </row>
    <row r="130" spans="1:28" s="22" customFormat="1">
      <c r="A130" s="18" t="s">
        <v>171</v>
      </c>
      <c r="B130" s="19"/>
      <c r="C130" s="8">
        <f t="shared" ref="C130:M130" si="16">SUM(C128:C129)</f>
        <v>0</v>
      </c>
      <c r="D130" s="8">
        <f t="shared" si="16"/>
        <v>0</v>
      </c>
      <c r="E130" s="8">
        <f t="shared" si="16"/>
        <v>0</v>
      </c>
      <c r="F130" s="8">
        <f t="shared" si="16"/>
        <v>0</v>
      </c>
      <c r="G130" s="8">
        <f t="shared" si="16"/>
        <v>0</v>
      </c>
      <c r="H130" s="8">
        <f t="shared" si="16"/>
        <v>0</v>
      </c>
      <c r="I130" s="8">
        <f t="shared" si="16"/>
        <v>0</v>
      </c>
      <c r="J130" s="8">
        <f t="shared" si="16"/>
        <v>0</v>
      </c>
      <c r="K130" s="8">
        <f t="shared" si="16"/>
        <v>0</v>
      </c>
      <c r="L130" s="8">
        <f t="shared" si="16"/>
        <v>0</v>
      </c>
      <c r="M130" s="8">
        <f t="shared" si="16"/>
        <v>0</v>
      </c>
      <c r="N130" s="8">
        <f>SUM(N128:N129)</f>
        <v>0</v>
      </c>
      <c r="O130" s="8">
        <f t="shared" ref="O130:T130" si="17">SUM(O128:O129)</f>
        <v>0</v>
      </c>
      <c r="P130" s="8">
        <f t="shared" si="17"/>
        <v>0</v>
      </c>
      <c r="Q130" s="8">
        <f t="shared" si="17"/>
        <v>0</v>
      </c>
      <c r="R130" s="8">
        <f t="shared" si="17"/>
        <v>0</v>
      </c>
      <c r="S130" s="8">
        <f t="shared" si="17"/>
        <v>0</v>
      </c>
      <c r="T130" s="8">
        <f t="shared" si="17"/>
        <v>0</v>
      </c>
      <c r="U130" s="8">
        <f t="shared" si="15"/>
        <v>0</v>
      </c>
      <c r="V130" s="20"/>
      <c r="W130" s="21"/>
      <c r="X130" s="20"/>
      <c r="Y130" s="20"/>
      <c r="Z130" s="20"/>
      <c r="AA130" s="20"/>
      <c r="AB130" s="20"/>
    </row>
    <row r="131" spans="1:28" s="25" customFormat="1">
      <c r="A131" s="29" t="s">
        <v>172</v>
      </c>
      <c r="B131" s="30"/>
      <c r="C131" s="48">
        <v>0</v>
      </c>
      <c r="D131" s="48"/>
      <c r="E131" s="48"/>
      <c r="F131" s="48"/>
      <c r="G131" s="144">
        <v>0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143"/>
      <c r="U131" s="48">
        <f t="shared" si="15"/>
        <v>0</v>
      </c>
      <c r="W131" s="28"/>
    </row>
    <row r="132" spans="1:28" s="35" customFormat="1">
      <c r="A132" s="45"/>
      <c r="B132" s="46" t="s">
        <v>217</v>
      </c>
      <c r="C132" s="47">
        <f t="shared" ref="C132:U132" si="18">SUM(C117+C113+C101+C95+C78+C64+C56+C38+C28+C22)</f>
        <v>0</v>
      </c>
      <c r="D132" s="47">
        <f t="shared" si="18"/>
        <v>0</v>
      </c>
      <c r="E132" s="47">
        <f t="shared" si="18"/>
        <v>0</v>
      </c>
      <c r="F132" s="47">
        <f t="shared" si="18"/>
        <v>0</v>
      </c>
      <c r="G132" s="47">
        <f t="shared" si="18"/>
        <v>0</v>
      </c>
      <c r="H132" s="47">
        <f t="shared" si="18"/>
        <v>0</v>
      </c>
      <c r="I132" s="47">
        <f t="shared" si="18"/>
        <v>0</v>
      </c>
      <c r="J132" s="47">
        <f t="shared" si="18"/>
        <v>0</v>
      </c>
      <c r="K132" s="47">
        <f t="shared" si="18"/>
        <v>543000</v>
      </c>
      <c r="L132" s="47">
        <f t="shared" si="18"/>
        <v>0</v>
      </c>
      <c r="M132" s="47">
        <f t="shared" si="18"/>
        <v>0</v>
      </c>
      <c r="N132" s="47">
        <f t="shared" si="18"/>
        <v>0</v>
      </c>
      <c r="O132" s="47">
        <f t="shared" si="18"/>
        <v>0</v>
      </c>
      <c r="P132" s="47">
        <f t="shared" si="18"/>
        <v>0</v>
      </c>
      <c r="Q132" s="47">
        <f t="shared" si="18"/>
        <v>0</v>
      </c>
      <c r="R132" s="47">
        <f t="shared" si="18"/>
        <v>0</v>
      </c>
      <c r="S132" s="47">
        <f t="shared" si="18"/>
        <v>0</v>
      </c>
      <c r="T132" s="47">
        <f t="shared" si="18"/>
        <v>0</v>
      </c>
      <c r="U132" s="47">
        <f t="shared" si="18"/>
        <v>543000</v>
      </c>
      <c r="V132" s="33"/>
      <c r="W132" s="34">
        <v>1578486.41</v>
      </c>
      <c r="X132" s="33"/>
      <c r="Y132" s="33"/>
      <c r="Z132" s="33"/>
      <c r="AA132" s="33"/>
      <c r="AB132" s="33"/>
    </row>
    <row r="133" spans="1:28" s="38" customFormat="1">
      <c r="A133" s="36"/>
      <c r="B133" s="37" t="s">
        <v>218</v>
      </c>
      <c r="C133" s="9">
        <f t="shared" ref="C133:U133" si="19">SUM(C118+C114+C102+C96+C79+C65+C57+C39+C29+C23)</f>
        <v>2982000</v>
      </c>
      <c r="D133" s="9">
        <f t="shared" si="19"/>
        <v>0</v>
      </c>
      <c r="E133" s="9">
        <f t="shared" si="19"/>
        <v>0</v>
      </c>
      <c r="F133" s="9">
        <f t="shared" si="19"/>
        <v>0</v>
      </c>
      <c r="G133" s="9">
        <f t="shared" si="19"/>
        <v>0</v>
      </c>
      <c r="H133" s="9">
        <f t="shared" si="19"/>
        <v>0</v>
      </c>
      <c r="I133" s="9">
        <f t="shared" si="19"/>
        <v>0</v>
      </c>
      <c r="J133" s="9">
        <f t="shared" si="19"/>
        <v>0</v>
      </c>
      <c r="K133" s="9">
        <f t="shared" si="19"/>
        <v>543000</v>
      </c>
      <c r="L133" s="9">
        <f t="shared" si="19"/>
        <v>0</v>
      </c>
      <c r="M133" s="9">
        <f t="shared" si="19"/>
        <v>0</v>
      </c>
      <c r="N133" s="9">
        <f t="shared" si="19"/>
        <v>0</v>
      </c>
      <c r="O133" s="9">
        <f t="shared" si="19"/>
        <v>0</v>
      </c>
      <c r="P133" s="9">
        <f t="shared" si="19"/>
        <v>0</v>
      </c>
      <c r="Q133" s="9">
        <f t="shared" si="19"/>
        <v>0</v>
      </c>
      <c r="R133" s="9">
        <f t="shared" si="19"/>
        <v>0</v>
      </c>
      <c r="S133" s="9">
        <f t="shared" si="19"/>
        <v>0</v>
      </c>
      <c r="T133" s="9">
        <f t="shared" si="19"/>
        <v>0</v>
      </c>
      <c r="U133" s="9">
        <f t="shared" si="19"/>
        <v>3525000</v>
      </c>
      <c r="V133" s="33"/>
      <c r="W133" s="34">
        <f>8300+8300+8300</f>
        <v>24900</v>
      </c>
      <c r="X133" s="33"/>
      <c r="Y133" s="33"/>
      <c r="Z133" s="33"/>
      <c r="AA133" s="33"/>
      <c r="AB133" s="33"/>
    </row>
    <row r="134" spans="1:28">
      <c r="V134" s="33"/>
      <c r="W134" s="34"/>
      <c r="X134" s="33"/>
      <c r="Y134" s="33"/>
      <c r="Z134" s="33"/>
      <c r="AA134" s="33"/>
      <c r="AB134" s="33"/>
    </row>
    <row r="135" spans="1:28">
      <c r="B135" s="39"/>
      <c r="C135" s="39" t="s">
        <v>261</v>
      </c>
      <c r="D135" s="39"/>
      <c r="E135" s="40"/>
      <c r="F135" s="40"/>
      <c r="V135" s="33"/>
      <c r="W135" s="142">
        <f>SUM(U132-W132)</f>
        <v>-1035486.4099999999</v>
      </c>
      <c r="X135" s="33"/>
      <c r="Y135" s="33"/>
      <c r="Z135" s="33"/>
      <c r="AA135" s="33"/>
      <c r="AB135" s="33"/>
    </row>
    <row r="136" spans="1:28">
      <c r="B136" s="39"/>
      <c r="C136" s="39" t="s">
        <v>340</v>
      </c>
      <c r="D136" s="39"/>
      <c r="E136" s="40"/>
      <c r="F136" s="40"/>
      <c r="V136" s="33"/>
      <c r="W136" s="33"/>
      <c r="X136" s="33"/>
      <c r="Y136" s="33"/>
      <c r="Z136" s="33"/>
      <c r="AA136" s="33"/>
      <c r="AB136" s="33"/>
    </row>
    <row r="137" spans="1:28" ht="15.75" customHeight="1">
      <c r="B137" s="39"/>
      <c r="C137" s="39" t="s">
        <v>341</v>
      </c>
      <c r="D137" s="39"/>
      <c r="E137" s="40"/>
      <c r="F137" s="40"/>
      <c r="V137" s="33"/>
      <c r="W137" s="142">
        <f>SUM(U131+U133)</f>
        <v>3525000</v>
      </c>
      <c r="X137" s="33"/>
      <c r="Y137" s="33"/>
      <c r="Z137" s="33"/>
      <c r="AA137" s="33"/>
      <c r="AB137" s="33"/>
    </row>
    <row r="138" spans="1:28">
      <c r="B138" s="39"/>
      <c r="C138" s="41" t="s">
        <v>339</v>
      </c>
      <c r="D138" s="39"/>
      <c r="E138" s="40"/>
      <c r="F138" s="40"/>
      <c r="V138" s="33"/>
      <c r="W138" s="33"/>
      <c r="X138" s="33"/>
      <c r="Y138" s="33"/>
      <c r="Z138" s="33"/>
      <c r="AA138" s="33"/>
      <c r="AB138" s="33"/>
    </row>
    <row r="140" spans="1:28">
      <c r="W140" s="10">
        <f>SUM(W137-18539271.53)</f>
        <v>-15014271.530000001</v>
      </c>
    </row>
  </sheetData>
  <mergeCells count="147">
    <mergeCell ref="C9:C12"/>
    <mergeCell ref="D9:D12"/>
    <mergeCell ref="E9:E12"/>
    <mergeCell ref="R9:R12"/>
    <mergeCell ref="S9:S12"/>
    <mergeCell ref="T9:T12"/>
    <mergeCell ref="A1:U1"/>
    <mergeCell ref="A2:U2"/>
    <mergeCell ref="A3:U3"/>
    <mergeCell ref="A4:B12"/>
    <mergeCell ref="C4:D4"/>
    <mergeCell ref="E4:F4"/>
    <mergeCell ref="G4:H4"/>
    <mergeCell ref="I4:J4"/>
    <mergeCell ref="K4:M4"/>
    <mergeCell ref="O4:Q4"/>
    <mergeCell ref="U4:U12"/>
    <mergeCell ref="C5:D7"/>
    <mergeCell ref="E5:F7"/>
    <mergeCell ref="G5:H7"/>
    <mergeCell ref="I5:J7"/>
    <mergeCell ref="K5:M7"/>
    <mergeCell ref="N5:N7"/>
    <mergeCell ref="O5:Q7"/>
    <mergeCell ref="R5:R7"/>
    <mergeCell ref="S5:S7"/>
    <mergeCell ref="T5:T7"/>
    <mergeCell ref="L9:L12"/>
    <mergeCell ref="M9:M12"/>
    <mergeCell ref="N9:N12"/>
    <mergeCell ref="O9:O12"/>
    <mergeCell ref="P9:P12"/>
    <mergeCell ref="Q9:Q12"/>
    <mergeCell ref="F9:F12"/>
    <mergeCell ref="G9:G12"/>
    <mergeCell ref="H9:H12"/>
    <mergeCell ref="I9:I12"/>
    <mergeCell ref="J9:J12"/>
    <mergeCell ref="K9:K12"/>
    <mergeCell ref="J45:J48"/>
    <mergeCell ref="K45:K48"/>
    <mergeCell ref="R45:R48"/>
    <mergeCell ref="A40:B48"/>
    <mergeCell ref="C40:D40"/>
    <mergeCell ref="E40:F40"/>
    <mergeCell ref="G40:H40"/>
    <mergeCell ref="I40:J40"/>
    <mergeCell ref="K40:M40"/>
    <mergeCell ref="O40:Q40"/>
    <mergeCell ref="L45:L48"/>
    <mergeCell ref="M45:M48"/>
    <mergeCell ref="N45:N48"/>
    <mergeCell ref="O45:O48"/>
    <mergeCell ref="P45:P48"/>
    <mergeCell ref="Q45:Q48"/>
    <mergeCell ref="U40:U48"/>
    <mergeCell ref="C41:D43"/>
    <mergeCell ref="E41:F43"/>
    <mergeCell ref="G41:H43"/>
    <mergeCell ref="I41:J43"/>
    <mergeCell ref="K41:M43"/>
    <mergeCell ref="N41:N43"/>
    <mergeCell ref="O41:Q43"/>
    <mergeCell ref="R41:R43"/>
    <mergeCell ref="S41:S43"/>
    <mergeCell ref="T41:T43"/>
    <mergeCell ref="C45:C48"/>
    <mergeCell ref="D45:D48"/>
    <mergeCell ref="E45:E48"/>
    <mergeCell ref="F45:F48"/>
    <mergeCell ref="G45:G48"/>
    <mergeCell ref="H45:H48"/>
    <mergeCell ref="I45:I48"/>
    <mergeCell ref="S45:S48"/>
    <mergeCell ref="T45:T48"/>
    <mergeCell ref="U80:U88"/>
    <mergeCell ref="C81:D83"/>
    <mergeCell ref="E81:F83"/>
    <mergeCell ref="G81:H83"/>
    <mergeCell ref="I81:J83"/>
    <mergeCell ref="K81:M83"/>
    <mergeCell ref="N81:N83"/>
    <mergeCell ref="O81:Q83"/>
    <mergeCell ref="R81:R83"/>
    <mergeCell ref="S81:S83"/>
    <mergeCell ref="T81:T83"/>
    <mergeCell ref="C85:C88"/>
    <mergeCell ref="D85:D88"/>
    <mergeCell ref="E85:E88"/>
    <mergeCell ref="F85:F88"/>
    <mergeCell ref="G85:G88"/>
    <mergeCell ref="H85:H88"/>
    <mergeCell ref="I85:I88"/>
    <mergeCell ref="J85:J88"/>
    <mergeCell ref="K85:K88"/>
    <mergeCell ref="R85:R88"/>
    <mergeCell ref="S85:S88"/>
    <mergeCell ref="T85:T88"/>
    <mergeCell ref="C80:D80"/>
    <mergeCell ref="A119:B127"/>
    <mergeCell ref="C119:D119"/>
    <mergeCell ref="E119:F119"/>
    <mergeCell ref="G119:H119"/>
    <mergeCell ref="I119:J119"/>
    <mergeCell ref="K119:M119"/>
    <mergeCell ref="O119:Q119"/>
    <mergeCell ref="L85:L88"/>
    <mergeCell ref="M85:M88"/>
    <mergeCell ref="N85:N88"/>
    <mergeCell ref="O85:O88"/>
    <mergeCell ref="P85:P88"/>
    <mergeCell ref="Q85:Q88"/>
    <mergeCell ref="M124:M127"/>
    <mergeCell ref="N124:N127"/>
    <mergeCell ref="O124:O127"/>
    <mergeCell ref="P124:P127"/>
    <mergeCell ref="Q124:Q127"/>
    <mergeCell ref="A80:B88"/>
    <mergeCell ref="E80:F80"/>
    <mergeCell ref="G80:H80"/>
    <mergeCell ref="I80:J80"/>
    <mergeCell ref="K80:M80"/>
    <mergeCell ref="O80:Q80"/>
    <mergeCell ref="U119:U127"/>
    <mergeCell ref="C120:D122"/>
    <mergeCell ref="E120:F122"/>
    <mergeCell ref="G120:H122"/>
    <mergeCell ref="I120:J122"/>
    <mergeCell ref="K120:M122"/>
    <mergeCell ref="N120:N122"/>
    <mergeCell ref="O120:Q122"/>
    <mergeCell ref="R120:R122"/>
    <mergeCell ref="S120:S122"/>
    <mergeCell ref="T120:T122"/>
    <mergeCell ref="C124:C127"/>
    <mergeCell ref="D124:D127"/>
    <mergeCell ref="E124:E127"/>
    <mergeCell ref="F124:F127"/>
    <mergeCell ref="G124:G127"/>
    <mergeCell ref="H124:H127"/>
    <mergeCell ref="I124:I127"/>
    <mergeCell ref="J124:J127"/>
    <mergeCell ref="K124:K127"/>
    <mergeCell ref="R124:R127"/>
    <mergeCell ref="S124:S127"/>
    <mergeCell ref="T124:T127"/>
    <mergeCell ref="L124:L127"/>
  </mergeCells>
  <pageMargins left="0.2" right="0.19" top="0.19" bottom="0.31496062992125984" header="0.17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0"/>
  <sheetViews>
    <sheetView topLeftCell="I121" zoomScale="200" zoomScaleNormal="200" workbookViewId="0">
      <selection activeCell="T132" sqref="T132"/>
    </sheetView>
  </sheetViews>
  <sheetFormatPr defaultRowHeight="14.25"/>
  <cols>
    <col min="1" max="1" width="1.125" style="1" customWidth="1"/>
    <col min="2" max="2" width="16.625" style="1" customWidth="1"/>
    <col min="3" max="3" width="7.5" style="1" customWidth="1"/>
    <col min="4" max="4" width="7.375" style="1" customWidth="1"/>
    <col min="5" max="5" width="6" style="1" customWidth="1"/>
    <col min="6" max="6" width="5.75" style="1" customWidth="1"/>
    <col min="7" max="7" width="6.375" style="1" customWidth="1"/>
    <col min="8" max="8" width="7.25" style="1" customWidth="1"/>
    <col min="9" max="9" width="5" style="1" customWidth="1"/>
    <col min="10" max="10" width="5.875" style="1" customWidth="1"/>
    <col min="11" max="11" width="7.25" style="1" customWidth="1"/>
    <col min="12" max="12" width="7" style="1" customWidth="1"/>
    <col min="13" max="13" width="4.875" style="1" customWidth="1"/>
    <col min="14" max="14" width="6.25" style="1" customWidth="1"/>
    <col min="15" max="15" width="4.5" style="1" customWidth="1"/>
    <col min="16" max="17" width="6.375" style="1" customWidth="1"/>
    <col min="18" max="18" width="5.125" style="1" customWidth="1"/>
    <col min="19" max="19" width="4.125" style="1" customWidth="1"/>
    <col min="20" max="20" width="6.375" style="1" customWidth="1"/>
    <col min="21" max="21" width="7.625" style="1" customWidth="1"/>
    <col min="22" max="22" width="9" style="1"/>
    <col min="23" max="23" width="10.125" style="10" bestFit="1" customWidth="1"/>
    <col min="24" max="16384" width="9" style="1"/>
  </cols>
  <sheetData>
    <row r="1" spans="1:23">
      <c r="A1" s="266" t="s">
        <v>105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3">
      <c r="A2" s="266" t="s">
        <v>106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3">
      <c r="A3" s="267" t="s">
        <v>404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1:23" s="11" customFormat="1">
      <c r="A4" s="259" t="s">
        <v>107</v>
      </c>
      <c r="B4" s="260"/>
      <c r="C4" s="265" t="s">
        <v>108</v>
      </c>
      <c r="D4" s="265"/>
      <c r="E4" s="265" t="s">
        <v>109</v>
      </c>
      <c r="F4" s="265"/>
      <c r="G4" s="265" t="s">
        <v>110</v>
      </c>
      <c r="H4" s="265"/>
      <c r="I4" s="265" t="s">
        <v>111</v>
      </c>
      <c r="J4" s="265"/>
      <c r="K4" s="265" t="s">
        <v>112</v>
      </c>
      <c r="L4" s="265"/>
      <c r="M4" s="265"/>
      <c r="N4" s="140" t="s">
        <v>113</v>
      </c>
      <c r="O4" s="265" t="s">
        <v>114</v>
      </c>
      <c r="P4" s="265"/>
      <c r="Q4" s="265"/>
      <c r="R4" s="140" t="s">
        <v>115</v>
      </c>
      <c r="S4" s="140" t="s">
        <v>116</v>
      </c>
      <c r="T4" s="140" t="s">
        <v>117</v>
      </c>
      <c r="U4" s="257" t="s">
        <v>44</v>
      </c>
      <c r="W4" s="12"/>
    </row>
    <row r="5" spans="1:23" ht="14.25" customHeight="1">
      <c r="A5" s="261"/>
      <c r="B5" s="262"/>
      <c r="C5" s="258" t="s">
        <v>118</v>
      </c>
      <c r="D5" s="258"/>
      <c r="E5" s="257" t="s">
        <v>119</v>
      </c>
      <c r="F5" s="257"/>
      <c r="G5" s="257" t="s">
        <v>120</v>
      </c>
      <c r="H5" s="257"/>
      <c r="I5" s="258" t="s">
        <v>121</v>
      </c>
      <c r="J5" s="258"/>
      <c r="K5" s="258" t="s">
        <v>122</v>
      </c>
      <c r="L5" s="258"/>
      <c r="M5" s="258"/>
      <c r="N5" s="258" t="s">
        <v>123</v>
      </c>
      <c r="O5" s="258" t="s">
        <v>124</v>
      </c>
      <c r="P5" s="258"/>
      <c r="Q5" s="258"/>
      <c r="R5" s="258" t="s">
        <v>125</v>
      </c>
      <c r="S5" s="258" t="s">
        <v>126</v>
      </c>
      <c r="T5" s="258" t="s">
        <v>127</v>
      </c>
      <c r="U5" s="257"/>
    </row>
    <row r="6" spans="1:23">
      <c r="A6" s="261"/>
      <c r="B6" s="262"/>
      <c r="C6" s="258"/>
      <c r="D6" s="258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7"/>
    </row>
    <row r="7" spans="1:23">
      <c r="A7" s="261"/>
      <c r="B7" s="262"/>
      <c r="C7" s="258"/>
      <c r="D7" s="258"/>
      <c r="E7" s="257"/>
      <c r="F7" s="257"/>
      <c r="G7" s="257"/>
      <c r="H7" s="257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7"/>
    </row>
    <row r="8" spans="1:23" s="11" customFormat="1">
      <c r="A8" s="261"/>
      <c r="B8" s="262"/>
      <c r="C8" s="140" t="s">
        <v>128</v>
      </c>
      <c r="D8" s="140" t="s">
        <v>129</v>
      </c>
      <c r="E8" s="140" t="s">
        <v>130</v>
      </c>
      <c r="F8" s="140" t="s">
        <v>131</v>
      </c>
      <c r="G8" s="140" t="s">
        <v>132</v>
      </c>
      <c r="H8" s="140" t="s">
        <v>133</v>
      </c>
      <c r="I8" s="140" t="s">
        <v>134</v>
      </c>
      <c r="J8" s="140" t="s">
        <v>135</v>
      </c>
      <c r="K8" s="140" t="s">
        <v>136</v>
      </c>
      <c r="L8" s="140" t="s">
        <v>137</v>
      </c>
      <c r="M8" s="140" t="s">
        <v>138</v>
      </c>
      <c r="N8" s="140" t="s">
        <v>139</v>
      </c>
      <c r="O8" s="140" t="s">
        <v>140</v>
      </c>
      <c r="P8" s="140" t="s">
        <v>141</v>
      </c>
      <c r="Q8" s="140" t="s">
        <v>142</v>
      </c>
      <c r="R8" s="140" t="s">
        <v>143</v>
      </c>
      <c r="S8" s="140" t="s">
        <v>144</v>
      </c>
      <c r="T8" s="140" t="s">
        <v>145</v>
      </c>
      <c r="U8" s="257"/>
      <c r="W8" s="12"/>
    </row>
    <row r="9" spans="1:23" s="13" customFormat="1" ht="14.25" customHeight="1">
      <c r="A9" s="261"/>
      <c r="B9" s="262"/>
      <c r="C9" s="258" t="s">
        <v>146</v>
      </c>
      <c r="D9" s="258" t="s">
        <v>147</v>
      </c>
      <c r="E9" s="258" t="s">
        <v>148</v>
      </c>
      <c r="F9" s="258" t="s">
        <v>149</v>
      </c>
      <c r="G9" s="258" t="s">
        <v>150</v>
      </c>
      <c r="H9" s="258" t="s">
        <v>151</v>
      </c>
      <c r="I9" s="258" t="s">
        <v>152</v>
      </c>
      <c r="J9" s="258" t="s">
        <v>153</v>
      </c>
      <c r="K9" s="258" t="s">
        <v>154</v>
      </c>
      <c r="L9" s="258" t="s">
        <v>155</v>
      </c>
      <c r="M9" s="258" t="s">
        <v>156</v>
      </c>
      <c r="N9" s="258" t="s">
        <v>157</v>
      </c>
      <c r="O9" s="258" t="s">
        <v>158</v>
      </c>
      <c r="P9" s="258" t="s">
        <v>159</v>
      </c>
      <c r="Q9" s="258" t="s">
        <v>160</v>
      </c>
      <c r="R9" s="258" t="s">
        <v>161</v>
      </c>
      <c r="S9" s="258" t="s">
        <v>162</v>
      </c>
      <c r="T9" s="258" t="s">
        <v>163</v>
      </c>
      <c r="U9" s="257"/>
      <c r="W9" s="12"/>
    </row>
    <row r="10" spans="1:23" s="13" customFormat="1">
      <c r="A10" s="261"/>
      <c r="B10" s="262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7"/>
      <c r="W10" s="12"/>
    </row>
    <row r="11" spans="1:23">
      <c r="A11" s="261"/>
      <c r="B11" s="262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7"/>
    </row>
    <row r="12" spans="1:23">
      <c r="A12" s="263"/>
      <c r="B12" s="264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7"/>
    </row>
    <row r="13" spans="1:23">
      <c r="A13" s="14" t="s">
        <v>163</v>
      </c>
      <c r="B13" s="1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>
      <c r="A14" s="16"/>
      <c r="B14" s="17" t="s">
        <v>164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>SUM(C14:T14)</f>
        <v>0</v>
      </c>
    </row>
    <row r="15" spans="1:23">
      <c r="A15" s="16"/>
      <c r="B15" s="17" t="s">
        <v>288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ref="U15:U21" si="0">SUM(C15:T15)</f>
        <v>0</v>
      </c>
    </row>
    <row r="16" spans="1:23">
      <c r="A16" s="16"/>
      <c r="B16" s="43" t="s">
        <v>165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273990</v>
      </c>
      <c r="U16" s="3">
        <f t="shared" si="0"/>
        <v>273990</v>
      </c>
    </row>
    <row r="17" spans="1:24">
      <c r="A17" s="16"/>
      <c r="B17" s="17" t="s">
        <v>409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2109.63</v>
      </c>
      <c r="U17" s="3">
        <f t="shared" si="0"/>
        <v>2109.63</v>
      </c>
    </row>
    <row r="18" spans="1:24">
      <c r="A18" s="16"/>
      <c r="B18" s="17" t="s">
        <v>167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0"/>
        <v>0</v>
      </c>
    </row>
    <row r="19" spans="1:24">
      <c r="A19" s="16"/>
      <c r="B19" s="17" t="s">
        <v>168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1000</v>
      </c>
      <c r="U19" s="3">
        <f t="shared" si="0"/>
        <v>1000</v>
      </c>
    </row>
    <row r="20" spans="1:24">
      <c r="A20" s="16"/>
      <c r="B20" s="17" t="s">
        <v>169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7580</v>
      </c>
      <c r="U20" s="3">
        <f>SUM(C20:T20)</f>
        <v>7580</v>
      </c>
    </row>
    <row r="21" spans="1:24">
      <c r="A21" s="16"/>
      <c r="B21" s="17" t="s">
        <v>170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0"/>
        <v>0</v>
      </c>
    </row>
    <row r="22" spans="1:24" s="22" customFormat="1">
      <c r="A22" s="18" t="s">
        <v>171</v>
      </c>
      <c r="B22" s="19"/>
      <c r="C22" s="4">
        <f>SUM(C14:C21)</f>
        <v>0</v>
      </c>
      <c r="D22" s="4">
        <f t="shared" ref="D22:T22" si="1">SUM(D14:D21)</f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>
        <f t="shared" si="1"/>
        <v>0</v>
      </c>
      <c r="L22" s="4">
        <f t="shared" si="1"/>
        <v>0</v>
      </c>
      <c r="M22" s="4">
        <f t="shared" si="1"/>
        <v>0</v>
      </c>
      <c r="N22" s="4">
        <f t="shared" si="1"/>
        <v>0</v>
      </c>
      <c r="O22" s="4">
        <f t="shared" si="1"/>
        <v>0</v>
      </c>
      <c r="P22" s="4">
        <f t="shared" si="1"/>
        <v>0</v>
      </c>
      <c r="Q22" s="4">
        <f t="shared" si="1"/>
        <v>0</v>
      </c>
      <c r="R22" s="4">
        <f t="shared" si="1"/>
        <v>0</v>
      </c>
      <c r="S22" s="4">
        <f t="shared" si="1"/>
        <v>0</v>
      </c>
      <c r="T22" s="4">
        <f t="shared" si="1"/>
        <v>284679.63</v>
      </c>
      <c r="U22" s="4">
        <f>SUM(U14:U21)</f>
        <v>284679.63</v>
      </c>
      <c r="V22" s="20"/>
      <c r="W22" s="21"/>
      <c r="X22" s="20"/>
    </row>
    <row r="23" spans="1:24" s="25" customFormat="1">
      <c r="A23" s="29" t="s">
        <v>172</v>
      </c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f>9030+8580+284679.63</f>
        <v>302289.63</v>
      </c>
      <c r="U23" s="5">
        <f>SUM(C23:T23)</f>
        <v>302289.63</v>
      </c>
      <c r="V23" s="23"/>
      <c r="W23" s="24"/>
      <c r="X23" s="23"/>
    </row>
    <row r="24" spans="1:24">
      <c r="A24" s="31" t="s">
        <v>173</v>
      </c>
      <c r="B24" s="3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4">
      <c r="A25" s="16"/>
      <c r="B25" s="17" t="s">
        <v>174</v>
      </c>
      <c r="C25" s="3">
        <f>57960+10000+10000</f>
        <v>77960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>SUM(C25:T25)</f>
        <v>77960</v>
      </c>
    </row>
    <row r="26" spans="1:24">
      <c r="A26" s="16"/>
      <c r="B26" s="17" t="s">
        <v>175</v>
      </c>
      <c r="C26" s="3">
        <v>16560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>SUM(C26:T26)</f>
        <v>16560</v>
      </c>
    </row>
    <row r="27" spans="1:24">
      <c r="A27" s="16"/>
      <c r="B27" s="17" t="s">
        <v>176</v>
      </c>
      <c r="C27" s="3">
        <v>124200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>SUM(C27:T27)</f>
        <v>124200</v>
      </c>
    </row>
    <row r="28" spans="1:24" s="22" customFormat="1">
      <c r="A28" s="18" t="s">
        <v>171</v>
      </c>
      <c r="B28" s="19"/>
      <c r="C28" s="4">
        <f t="shared" ref="C28:U28" si="2">SUM(C25:C27)</f>
        <v>218720</v>
      </c>
      <c r="D28" s="4">
        <f t="shared" si="2"/>
        <v>0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 t="shared" si="2"/>
        <v>0</v>
      </c>
      <c r="O28" s="4">
        <f t="shared" si="2"/>
        <v>0</v>
      </c>
      <c r="P28" s="4">
        <f t="shared" si="2"/>
        <v>0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  <c r="U28" s="4">
        <f t="shared" si="2"/>
        <v>218720</v>
      </c>
      <c r="W28" s="27"/>
    </row>
    <row r="29" spans="1:24" s="25" customFormat="1">
      <c r="A29" s="29" t="s">
        <v>172</v>
      </c>
      <c r="B29" s="30"/>
      <c r="C29" s="5">
        <f>218720+218720+218720</f>
        <v>656160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f>SUM(C29:T29)</f>
        <v>656160</v>
      </c>
      <c r="W29" s="28"/>
    </row>
    <row r="30" spans="1:24">
      <c r="A30" s="31" t="s">
        <v>177</v>
      </c>
      <c r="B30" s="3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4">
      <c r="A31" s="16"/>
      <c r="B31" s="17" t="s">
        <v>178</v>
      </c>
      <c r="C31" s="3">
        <v>160049</v>
      </c>
      <c r="D31" s="3">
        <v>31170</v>
      </c>
      <c r="E31" s="3"/>
      <c r="F31" s="3"/>
      <c r="G31" s="3"/>
      <c r="H31" s="3"/>
      <c r="I31" s="3"/>
      <c r="J31" s="3"/>
      <c r="K31" s="3">
        <v>40100</v>
      </c>
      <c r="L31" s="3"/>
      <c r="M31" s="3"/>
      <c r="N31" s="3"/>
      <c r="O31" s="3"/>
      <c r="P31" s="3"/>
      <c r="Q31" s="3"/>
      <c r="R31" s="3"/>
      <c r="S31" s="3"/>
      <c r="T31" s="3"/>
      <c r="U31" s="3">
        <f>SUM(C31:T31)</f>
        <v>231319</v>
      </c>
    </row>
    <row r="32" spans="1:24">
      <c r="A32" s="16"/>
      <c r="B32" s="17" t="s">
        <v>179</v>
      </c>
      <c r="C32" s="3"/>
      <c r="D32" s="3">
        <v>775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ref="U32:U38" si="3">SUM(C32:T32)</f>
        <v>775</v>
      </c>
    </row>
    <row r="33" spans="1:28">
      <c r="A33" s="16"/>
      <c r="B33" s="17" t="s">
        <v>180</v>
      </c>
      <c r="C33" s="3">
        <v>10500</v>
      </c>
      <c r="D33" s="3"/>
      <c r="E33" s="3"/>
      <c r="F33" s="3"/>
      <c r="G33" s="3"/>
      <c r="H33" s="3"/>
      <c r="I33" s="3"/>
      <c r="J33" s="3"/>
      <c r="K33" s="3">
        <v>3500</v>
      </c>
      <c r="L33" s="3"/>
      <c r="M33" s="3"/>
      <c r="N33" s="3"/>
      <c r="O33" s="3"/>
      <c r="P33" s="3"/>
      <c r="Q33" s="3"/>
      <c r="R33" s="3"/>
      <c r="S33" s="3"/>
      <c r="T33" s="3"/>
      <c r="U33" s="3">
        <f t="shared" si="3"/>
        <v>14000</v>
      </c>
    </row>
    <row r="34" spans="1:28">
      <c r="A34" s="16"/>
      <c r="B34" s="17" t="s">
        <v>181</v>
      </c>
      <c r="C34" s="3"/>
      <c r="D34" s="3">
        <v>32990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3"/>
        <v>32990</v>
      </c>
    </row>
    <row r="35" spans="1:28">
      <c r="A35" s="16"/>
      <c r="B35" s="17" t="s">
        <v>182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3"/>
        <v>0</v>
      </c>
    </row>
    <row r="36" spans="1:28">
      <c r="A36" s="16"/>
      <c r="B36" s="17" t="s">
        <v>183</v>
      </c>
      <c r="C36" s="3">
        <f>94351+5079</f>
        <v>99430</v>
      </c>
      <c r="D36" s="3">
        <f>19100</f>
        <v>19100</v>
      </c>
      <c r="E36" s="3"/>
      <c r="F36" s="3"/>
      <c r="G36" s="3"/>
      <c r="H36" s="3"/>
      <c r="I36" s="3"/>
      <c r="J36" s="3"/>
      <c r="K36" s="3">
        <f>27920</f>
        <v>27920</v>
      </c>
      <c r="L36" s="3"/>
      <c r="M36" s="3"/>
      <c r="N36" s="3"/>
      <c r="O36" s="3"/>
      <c r="P36" s="3"/>
      <c r="Q36" s="3"/>
      <c r="R36" s="3"/>
      <c r="S36" s="3"/>
      <c r="T36" s="3"/>
      <c r="U36" s="3">
        <f t="shared" si="3"/>
        <v>146450</v>
      </c>
    </row>
    <row r="37" spans="1:28">
      <c r="A37" s="16"/>
      <c r="B37" s="17" t="s">
        <v>184</v>
      </c>
      <c r="C37" s="3">
        <v>3000</v>
      </c>
      <c r="D37" s="3">
        <v>1500</v>
      </c>
      <c r="E37" s="3"/>
      <c r="F37" s="3"/>
      <c r="G37" s="3"/>
      <c r="H37" s="3"/>
      <c r="I37" s="3"/>
      <c r="J37" s="3"/>
      <c r="K37" s="3">
        <v>1500</v>
      </c>
      <c r="L37" s="3"/>
      <c r="M37" s="3"/>
      <c r="N37" s="3"/>
      <c r="O37" s="3"/>
      <c r="P37" s="3"/>
      <c r="Q37" s="3"/>
      <c r="R37" s="3"/>
      <c r="S37" s="3"/>
      <c r="T37" s="3"/>
      <c r="U37" s="3">
        <f t="shared" si="3"/>
        <v>6000</v>
      </c>
    </row>
    <row r="38" spans="1:28" s="22" customFormat="1">
      <c r="A38" s="18" t="s">
        <v>171</v>
      </c>
      <c r="B38" s="19"/>
      <c r="C38" s="4">
        <f>SUM(C31:C37)</f>
        <v>272979</v>
      </c>
      <c r="D38" s="4">
        <f t="shared" ref="D38:T38" si="4">SUM(D31:D37)</f>
        <v>85535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73020</v>
      </c>
      <c r="L38" s="4">
        <f t="shared" si="4"/>
        <v>0</v>
      </c>
      <c r="M38" s="4">
        <f t="shared" si="4"/>
        <v>0</v>
      </c>
      <c r="N38" s="4">
        <f t="shared" si="4"/>
        <v>0</v>
      </c>
      <c r="O38" s="4">
        <f t="shared" si="4"/>
        <v>0</v>
      </c>
      <c r="P38" s="4">
        <f t="shared" si="4"/>
        <v>0</v>
      </c>
      <c r="Q38" s="4">
        <f t="shared" si="4"/>
        <v>0</v>
      </c>
      <c r="R38" s="4">
        <f t="shared" si="4"/>
        <v>0</v>
      </c>
      <c r="S38" s="4">
        <f t="shared" si="4"/>
        <v>0</v>
      </c>
      <c r="T38" s="4">
        <f t="shared" si="4"/>
        <v>0</v>
      </c>
      <c r="U38" s="4">
        <f t="shared" si="3"/>
        <v>431534</v>
      </c>
      <c r="V38" s="20"/>
      <c r="W38" s="21">
        <f>SUM(U38+U28)</f>
        <v>650254</v>
      </c>
      <c r="X38" s="20"/>
      <c r="Y38" s="20"/>
      <c r="Z38" s="20"/>
      <c r="AA38" s="20"/>
      <c r="AB38" s="20"/>
    </row>
    <row r="39" spans="1:28" s="25" customFormat="1">
      <c r="A39" s="29" t="s">
        <v>172</v>
      </c>
      <c r="B39" s="30"/>
      <c r="C39" s="5">
        <f>261320+261320+272979</f>
        <v>795619</v>
      </c>
      <c r="D39" s="5">
        <f>82545+105505+85535</f>
        <v>273585</v>
      </c>
      <c r="E39" s="5"/>
      <c r="F39" s="5"/>
      <c r="G39" s="5"/>
      <c r="H39" s="5"/>
      <c r="I39" s="5"/>
      <c r="J39" s="5"/>
      <c r="K39" s="5">
        <f>82020+73020+73020</f>
        <v>228060</v>
      </c>
      <c r="L39" s="5"/>
      <c r="M39" s="5"/>
      <c r="N39" s="5"/>
      <c r="O39" s="5"/>
      <c r="P39" s="5"/>
      <c r="Q39" s="5"/>
      <c r="R39" s="5"/>
      <c r="S39" s="5"/>
      <c r="T39" s="5"/>
      <c r="U39" s="5">
        <f>SUM(C39:T39)</f>
        <v>1297264</v>
      </c>
      <c r="V39" s="23"/>
      <c r="W39" s="24"/>
      <c r="X39" s="23"/>
      <c r="Y39" s="23"/>
      <c r="Z39" s="23"/>
      <c r="AA39" s="23"/>
      <c r="AB39" s="23"/>
    </row>
    <row r="40" spans="1:28" s="11" customFormat="1">
      <c r="A40" s="259" t="s">
        <v>107</v>
      </c>
      <c r="B40" s="260"/>
      <c r="C40" s="265" t="s">
        <v>108</v>
      </c>
      <c r="D40" s="265"/>
      <c r="E40" s="265" t="s">
        <v>109</v>
      </c>
      <c r="F40" s="265"/>
      <c r="G40" s="265" t="s">
        <v>110</v>
      </c>
      <c r="H40" s="265"/>
      <c r="I40" s="265" t="s">
        <v>111</v>
      </c>
      <c r="J40" s="265"/>
      <c r="K40" s="265" t="s">
        <v>112</v>
      </c>
      <c r="L40" s="265"/>
      <c r="M40" s="265"/>
      <c r="N40" s="147" t="s">
        <v>113</v>
      </c>
      <c r="O40" s="265" t="s">
        <v>114</v>
      </c>
      <c r="P40" s="265"/>
      <c r="Q40" s="265"/>
      <c r="R40" s="147" t="s">
        <v>115</v>
      </c>
      <c r="S40" s="147" t="s">
        <v>116</v>
      </c>
      <c r="T40" s="147" t="s">
        <v>117</v>
      </c>
      <c r="U40" s="257" t="s">
        <v>44</v>
      </c>
      <c r="W40" s="12"/>
    </row>
    <row r="41" spans="1:28" ht="14.25" customHeight="1">
      <c r="A41" s="261"/>
      <c r="B41" s="262"/>
      <c r="C41" s="258" t="s">
        <v>118</v>
      </c>
      <c r="D41" s="258"/>
      <c r="E41" s="257" t="s">
        <v>119</v>
      </c>
      <c r="F41" s="257"/>
      <c r="G41" s="257" t="s">
        <v>120</v>
      </c>
      <c r="H41" s="257"/>
      <c r="I41" s="258" t="s">
        <v>121</v>
      </c>
      <c r="J41" s="258"/>
      <c r="K41" s="258" t="s">
        <v>122</v>
      </c>
      <c r="L41" s="258"/>
      <c r="M41" s="258"/>
      <c r="N41" s="258" t="s">
        <v>123</v>
      </c>
      <c r="O41" s="258" t="s">
        <v>124</v>
      </c>
      <c r="P41" s="258"/>
      <c r="Q41" s="258"/>
      <c r="R41" s="258" t="s">
        <v>125</v>
      </c>
      <c r="S41" s="258" t="s">
        <v>126</v>
      </c>
      <c r="T41" s="258" t="s">
        <v>127</v>
      </c>
      <c r="U41" s="257"/>
    </row>
    <row r="42" spans="1:28">
      <c r="A42" s="261"/>
      <c r="B42" s="262"/>
      <c r="C42" s="258"/>
      <c r="D42" s="258"/>
      <c r="E42" s="257"/>
      <c r="F42" s="257"/>
      <c r="G42" s="257"/>
      <c r="H42" s="257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7"/>
    </row>
    <row r="43" spans="1:28">
      <c r="A43" s="261"/>
      <c r="B43" s="262"/>
      <c r="C43" s="258"/>
      <c r="D43" s="258"/>
      <c r="E43" s="257"/>
      <c r="F43" s="257"/>
      <c r="G43" s="257"/>
      <c r="H43" s="257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7"/>
    </row>
    <row r="44" spans="1:28" s="11" customFormat="1">
      <c r="A44" s="261"/>
      <c r="B44" s="262"/>
      <c r="C44" s="147" t="s">
        <v>128</v>
      </c>
      <c r="D44" s="147" t="s">
        <v>129</v>
      </c>
      <c r="E44" s="147" t="s">
        <v>130</v>
      </c>
      <c r="F44" s="147" t="s">
        <v>131</v>
      </c>
      <c r="G44" s="147" t="s">
        <v>132</v>
      </c>
      <c r="H44" s="147" t="s">
        <v>133</v>
      </c>
      <c r="I44" s="147" t="s">
        <v>134</v>
      </c>
      <c r="J44" s="147" t="s">
        <v>135</v>
      </c>
      <c r="K44" s="147" t="s">
        <v>136</v>
      </c>
      <c r="L44" s="147" t="s">
        <v>137</v>
      </c>
      <c r="M44" s="147" t="s">
        <v>138</v>
      </c>
      <c r="N44" s="147" t="s">
        <v>139</v>
      </c>
      <c r="O44" s="147" t="s">
        <v>140</v>
      </c>
      <c r="P44" s="147" t="s">
        <v>141</v>
      </c>
      <c r="Q44" s="147" t="s">
        <v>142</v>
      </c>
      <c r="R44" s="147" t="s">
        <v>143</v>
      </c>
      <c r="S44" s="147" t="s">
        <v>144</v>
      </c>
      <c r="T44" s="147" t="s">
        <v>145</v>
      </c>
      <c r="U44" s="257"/>
      <c r="W44" s="12"/>
    </row>
    <row r="45" spans="1:28" s="13" customFormat="1" ht="14.25" customHeight="1">
      <c r="A45" s="261"/>
      <c r="B45" s="262"/>
      <c r="C45" s="258" t="s">
        <v>146</v>
      </c>
      <c r="D45" s="258" t="s">
        <v>147</v>
      </c>
      <c r="E45" s="258" t="s">
        <v>148</v>
      </c>
      <c r="F45" s="258" t="s">
        <v>149</v>
      </c>
      <c r="G45" s="258" t="s">
        <v>150</v>
      </c>
      <c r="H45" s="258" t="s">
        <v>151</v>
      </c>
      <c r="I45" s="258" t="s">
        <v>152</v>
      </c>
      <c r="J45" s="258" t="s">
        <v>153</v>
      </c>
      <c r="K45" s="258" t="s">
        <v>154</v>
      </c>
      <c r="L45" s="258" t="s">
        <v>155</v>
      </c>
      <c r="M45" s="258" t="s">
        <v>156</v>
      </c>
      <c r="N45" s="258" t="s">
        <v>157</v>
      </c>
      <c r="O45" s="258" t="s">
        <v>158</v>
      </c>
      <c r="P45" s="258" t="s">
        <v>159</v>
      </c>
      <c r="Q45" s="258" t="s">
        <v>160</v>
      </c>
      <c r="R45" s="258" t="s">
        <v>161</v>
      </c>
      <c r="S45" s="258" t="s">
        <v>162</v>
      </c>
      <c r="T45" s="258" t="s">
        <v>163</v>
      </c>
      <c r="U45" s="257"/>
      <c r="W45" s="12"/>
    </row>
    <row r="46" spans="1:28" s="13" customFormat="1">
      <c r="A46" s="261"/>
      <c r="B46" s="262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7"/>
      <c r="W46" s="12"/>
    </row>
    <row r="47" spans="1:28">
      <c r="A47" s="261"/>
      <c r="B47" s="262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7"/>
    </row>
    <row r="48" spans="1:28">
      <c r="A48" s="263"/>
      <c r="B48" s="264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7"/>
    </row>
    <row r="49" spans="1:29">
      <c r="A49" s="14" t="s">
        <v>19</v>
      </c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9">
      <c r="A50" s="16"/>
      <c r="B50" s="42" t="s">
        <v>185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f>SUM(C50:T50)</f>
        <v>0</v>
      </c>
    </row>
    <row r="51" spans="1:29">
      <c r="A51" s="16"/>
      <c r="B51" s="17" t="s">
        <v>186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f t="shared" ref="U51:U56" si="5">SUM(C51:T51)</f>
        <v>0</v>
      </c>
    </row>
    <row r="52" spans="1:29">
      <c r="A52" s="16"/>
      <c r="B52" s="44" t="s">
        <v>187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f t="shared" si="5"/>
        <v>0</v>
      </c>
    </row>
    <row r="53" spans="1:29">
      <c r="A53" s="16"/>
      <c r="B53" s="17" t="s">
        <v>188</v>
      </c>
      <c r="C53" s="3">
        <v>11300</v>
      </c>
      <c r="D53" s="3">
        <v>4500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>
        <f t="shared" si="5"/>
        <v>15800</v>
      </c>
    </row>
    <row r="54" spans="1:29">
      <c r="A54" s="16"/>
      <c r="B54" s="17" t="s">
        <v>189</v>
      </c>
      <c r="C54" s="3"/>
      <c r="D54" s="3"/>
      <c r="E54" s="3"/>
      <c r="F54" s="3"/>
      <c r="G54" s="3"/>
      <c r="H54" s="3"/>
      <c r="I54" s="3"/>
      <c r="J54" s="3"/>
      <c r="K54" s="3">
        <v>1702</v>
      </c>
      <c r="L54" s="3"/>
      <c r="M54" s="3"/>
      <c r="N54" s="3"/>
      <c r="O54" s="3"/>
      <c r="P54" s="3"/>
      <c r="Q54" s="3"/>
      <c r="R54" s="3"/>
      <c r="S54" s="3"/>
      <c r="T54" s="3"/>
      <c r="U54" s="3">
        <f t="shared" si="5"/>
        <v>1702</v>
      </c>
    </row>
    <row r="55" spans="1:29">
      <c r="A55" s="16"/>
      <c r="B55" s="17" t="s">
        <v>190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f t="shared" si="5"/>
        <v>0</v>
      </c>
    </row>
    <row r="56" spans="1:29" s="22" customFormat="1">
      <c r="A56" s="18" t="s">
        <v>171</v>
      </c>
      <c r="B56" s="19"/>
      <c r="C56" s="4">
        <f>SUM(C50:C55)</f>
        <v>11300</v>
      </c>
      <c r="D56" s="4">
        <f t="shared" ref="D56:T56" si="6">SUM(D50:D55)</f>
        <v>4500</v>
      </c>
      <c r="E56" s="4">
        <f t="shared" si="6"/>
        <v>0</v>
      </c>
      <c r="F56" s="4">
        <f t="shared" si="6"/>
        <v>0</v>
      </c>
      <c r="G56" s="4">
        <f t="shared" si="6"/>
        <v>0</v>
      </c>
      <c r="H56" s="4">
        <f t="shared" si="6"/>
        <v>0</v>
      </c>
      <c r="I56" s="4">
        <f t="shared" si="6"/>
        <v>0</v>
      </c>
      <c r="J56" s="4">
        <f t="shared" si="6"/>
        <v>0</v>
      </c>
      <c r="K56" s="4">
        <f t="shared" si="6"/>
        <v>1702</v>
      </c>
      <c r="L56" s="4">
        <f t="shared" si="6"/>
        <v>0</v>
      </c>
      <c r="M56" s="4">
        <f t="shared" si="6"/>
        <v>0</v>
      </c>
      <c r="N56" s="4">
        <f t="shared" si="6"/>
        <v>0</v>
      </c>
      <c r="O56" s="4">
        <f t="shared" si="6"/>
        <v>0</v>
      </c>
      <c r="P56" s="4">
        <f t="shared" si="6"/>
        <v>0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  <c r="U56" s="4">
        <f t="shared" si="5"/>
        <v>17502</v>
      </c>
      <c r="V56" s="20"/>
      <c r="W56" s="21"/>
      <c r="X56" s="20"/>
      <c r="Y56" s="20"/>
      <c r="Z56" s="20"/>
      <c r="AA56" s="20"/>
      <c r="AB56" s="20"/>
      <c r="AC56" s="20"/>
    </row>
    <row r="57" spans="1:29" s="25" customFormat="1">
      <c r="A57" s="29" t="s">
        <v>172</v>
      </c>
      <c r="B57" s="30"/>
      <c r="C57" s="5">
        <f>9000+11300+11300</f>
        <v>31600</v>
      </c>
      <c r="D57" s="5">
        <f>3000+4500+4500</f>
        <v>12000</v>
      </c>
      <c r="E57" s="5"/>
      <c r="F57" s="5"/>
      <c r="G57" s="5"/>
      <c r="H57" s="5"/>
      <c r="I57" s="5"/>
      <c r="J57" s="5"/>
      <c r="K57" s="5">
        <f>1702</f>
        <v>1702</v>
      </c>
      <c r="L57" s="5"/>
      <c r="M57" s="5"/>
      <c r="N57" s="5"/>
      <c r="O57" s="5"/>
      <c r="P57" s="5"/>
      <c r="Q57" s="5"/>
      <c r="R57" s="5"/>
      <c r="S57" s="5"/>
      <c r="T57" s="5"/>
      <c r="U57" s="5">
        <f>SUM(C57:T57)</f>
        <v>45302</v>
      </c>
      <c r="W57" s="28"/>
    </row>
    <row r="58" spans="1:29">
      <c r="A58" s="31" t="s">
        <v>21</v>
      </c>
      <c r="B58" s="3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9">
      <c r="A59" s="16"/>
      <c r="B59" s="17" t="s">
        <v>191</v>
      </c>
      <c r="C59" s="3">
        <f>9000+9000</f>
        <v>18000</v>
      </c>
      <c r="D59" s="3">
        <f>6000</f>
        <v>6000</v>
      </c>
      <c r="E59" s="3"/>
      <c r="F59" s="3"/>
      <c r="G59" s="3"/>
      <c r="H59" s="3"/>
      <c r="I59" s="3"/>
      <c r="J59" s="3"/>
      <c r="K59" s="3">
        <f>6000+27000</f>
        <v>33000</v>
      </c>
      <c r="L59" s="3"/>
      <c r="M59" s="3"/>
      <c r="N59" s="3"/>
      <c r="O59" s="3"/>
      <c r="P59" s="3"/>
      <c r="Q59" s="3"/>
      <c r="R59" s="3"/>
      <c r="S59" s="3"/>
      <c r="T59" s="3"/>
      <c r="U59" s="3">
        <f>SUM(C59:T59)</f>
        <v>57000</v>
      </c>
    </row>
    <row r="60" spans="1:29">
      <c r="A60" s="16"/>
      <c r="B60" s="44" t="s">
        <v>192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>
        <f>SUM(C60:T60)</f>
        <v>0</v>
      </c>
    </row>
    <row r="61" spans="1:29">
      <c r="A61" s="16"/>
      <c r="B61" s="17" t="s">
        <v>193</v>
      </c>
      <c r="C61" s="3">
        <f>550+20950</f>
        <v>21500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>
        <f>SUM(C61:T61)</f>
        <v>21500</v>
      </c>
    </row>
    <row r="62" spans="1:29">
      <c r="A62" s="16"/>
      <c r="B62" s="17" t="s">
        <v>194</v>
      </c>
      <c r="C62" s="3">
        <f>3300+500+500+500</f>
        <v>4800</v>
      </c>
      <c r="D62" s="3">
        <f>6000</f>
        <v>6000</v>
      </c>
      <c r="E62" s="3"/>
      <c r="F62" s="3"/>
      <c r="G62" s="3"/>
      <c r="H62" s="3">
        <f>12124+216400</f>
        <v>228524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f>SUM(C62:T62)</f>
        <v>239324</v>
      </c>
    </row>
    <row r="63" spans="1:29">
      <c r="A63" s="16"/>
      <c r="B63" s="17" t="s">
        <v>195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>
        <f>SUM(C63:T63)</f>
        <v>0</v>
      </c>
    </row>
    <row r="64" spans="1:29" s="22" customFormat="1">
      <c r="A64" s="18" t="s">
        <v>171</v>
      </c>
      <c r="B64" s="19"/>
      <c r="C64" s="4">
        <f>SUM(C59:C63)</f>
        <v>44300</v>
      </c>
      <c r="D64" s="4">
        <f t="shared" ref="D64:U64" si="7">SUM(D59:D63)</f>
        <v>12000</v>
      </c>
      <c r="E64" s="4">
        <f t="shared" si="7"/>
        <v>0</v>
      </c>
      <c r="F64" s="4">
        <f t="shared" si="7"/>
        <v>0</v>
      </c>
      <c r="G64" s="4">
        <f t="shared" si="7"/>
        <v>0</v>
      </c>
      <c r="H64" s="4">
        <f t="shared" si="7"/>
        <v>228524</v>
      </c>
      <c r="I64" s="4">
        <f t="shared" si="7"/>
        <v>0</v>
      </c>
      <c r="J64" s="4">
        <f t="shared" si="7"/>
        <v>0</v>
      </c>
      <c r="K64" s="4">
        <f t="shared" si="7"/>
        <v>33000</v>
      </c>
      <c r="L64" s="4">
        <f t="shared" si="7"/>
        <v>0</v>
      </c>
      <c r="M64" s="4">
        <f t="shared" si="7"/>
        <v>0</v>
      </c>
      <c r="N64" s="4">
        <f t="shared" si="7"/>
        <v>0</v>
      </c>
      <c r="O64" s="4">
        <f t="shared" si="7"/>
        <v>0</v>
      </c>
      <c r="P64" s="4">
        <f t="shared" si="7"/>
        <v>0</v>
      </c>
      <c r="Q64" s="4">
        <f t="shared" si="7"/>
        <v>0</v>
      </c>
      <c r="R64" s="4">
        <f t="shared" si="7"/>
        <v>0</v>
      </c>
      <c r="S64" s="4">
        <f t="shared" si="7"/>
        <v>0</v>
      </c>
      <c r="T64" s="4">
        <f t="shared" si="7"/>
        <v>0</v>
      </c>
      <c r="U64" s="4">
        <f t="shared" si="7"/>
        <v>317824</v>
      </c>
      <c r="V64" s="20"/>
      <c r="W64" s="21"/>
      <c r="X64" s="20"/>
      <c r="Y64" s="20"/>
      <c r="Z64" s="20"/>
      <c r="AA64" s="20"/>
      <c r="AB64" s="20"/>
    </row>
    <row r="65" spans="1:28" s="25" customFormat="1">
      <c r="A65" s="29" t="s">
        <v>172</v>
      </c>
      <c r="B65" s="30"/>
      <c r="C65" s="5">
        <f>10000+39140+44300</f>
        <v>93440</v>
      </c>
      <c r="D65" s="5">
        <f>37200+12000</f>
        <v>49200</v>
      </c>
      <c r="E65" s="5"/>
      <c r="F65" s="5"/>
      <c r="G65" s="5"/>
      <c r="H65" s="5">
        <f>4190+228524</f>
        <v>232714</v>
      </c>
      <c r="I65" s="5"/>
      <c r="J65" s="5"/>
      <c r="K65" s="5">
        <f>36600+6000+27000</f>
        <v>69600</v>
      </c>
      <c r="L65" s="5"/>
      <c r="M65" s="5"/>
      <c r="N65" s="5"/>
      <c r="O65" s="5"/>
      <c r="P65" s="5"/>
      <c r="Q65" s="5">
        <f>413948+206500+10500</f>
        <v>630948</v>
      </c>
      <c r="R65" s="5"/>
      <c r="S65" s="5"/>
      <c r="T65" s="5"/>
      <c r="U65" s="5">
        <f>SUM(C65:T65)</f>
        <v>1075902</v>
      </c>
      <c r="W65" s="28"/>
    </row>
    <row r="66" spans="1:28">
      <c r="A66" s="31" t="s">
        <v>23</v>
      </c>
      <c r="B66" s="3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8">
      <c r="A67" s="16"/>
      <c r="B67" s="17" t="s">
        <v>196</v>
      </c>
      <c r="C67" s="3">
        <f>1632+3900</f>
        <v>5532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>
        <f>SUM(C67:T67)</f>
        <v>5532</v>
      </c>
    </row>
    <row r="68" spans="1:28">
      <c r="A68" s="16"/>
      <c r="B68" s="17" t="s">
        <v>197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>
        <f t="shared" ref="U68:U77" si="8">SUM(C68:T68)</f>
        <v>0</v>
      </c>
    </row>
    <row r="69" spans="1:28">
      <c r="A69" s="16"/>
      <c r="B69" s="17" t="s">
        <v>198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>
        <f t="shared" si="8"/>
        <v>0</v>
      </c>
    </row>
    <row r="70" spans="1:28">
      <c r="A70" s="16"/>
      <c r="B70" s="17" t="s">
        <v>199</v>
      </c>
      <c r="C70" s="3">
        <v>6500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>
        <f t="shared" si="8"/>
        <v>6500</v>
      </c>
    </row>
    <row r="71" spans="1:28">
      <c r="A71" s="16"/>
      <c r="B71" s="17" t="s">
        <v>200</v>
      </c>
      <c r="C71" s="3">
        <v>11890.8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>
        <f t="shared" si="8"/>
        <v>11890.8</v>
      </c>
    </row>
    <row r="72" spans="1:28">
      <c r="A72" s="16"/>
      <c r="B72" s="17" t="s">
        <v>201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>
        <f>SUM(C72:T72)</f>
        <v>0</v>
      </c>
    </row>
    <row r="73" spans="1:28">
      <c r="A73" s="16"/>
      <c r="B73" s="17" t="s">
        <v>273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>
        <f t="shared" si="8"/>
        <v>0</v>
      </c>
    </row>
    <row r="74" spans="1:28">
      <c r="A74" s="16"/>
      <c r="B74" s="17" t="s">
        <v>202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>
        <f t="shared" si="8"/>
        <v>0</v>
      </c>
    </row>
    <row r="75" spans="1:28">
      <c r="A75" s="16"/>
      <c r="B75" s="17" t="s">
        <v>276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>
        <f>SUM(C75:T75)</f>
        <v>0</v>
      </c>
    </row>
    <row r="76" spans="1:28" ht="13.5" customHeight="1">
      <c r="A76" s="16"/>
      <c r="B76" s="17" t="s">
        <v>203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f t="shared" si="8"/>
        <v>0</v>
      </c>
    </row>
    <row r="77" spans="1:28" ht="12.75" customHeight="1">
      <c r="A77" s="16"/>
      <c r="B77" s="17" t="s">
        <v>204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>
        <f t="shared" si="8"/>
        <v>0</v>
      </c>
    </row>
    <row r="78" spans="1:28" s="22" customFormat="1">
      <c r="A78" s="18" t="s">
        <v>171</v>
      </c>
      <c r="B78" s="19"/>
      <c r="C78" s="4">
        <f>SUM(C67:C77)</f>
        <v>23922.799999999999</v>
      </c>
      <c r="D78" s="4">
        <f t="shared" ref="D78:U78" si="9">SUM(D67:D77)</f>
        <v>0</v>
      </c>
      <c r="E78" s="4">
        <f t="shared" si="9"/>
        <v>0</v>
      </c>
      <c r="F78" s="4">
        <f t="shared" si="9"/>
        <v>0</v>
      </c>
      <c r="G78" s="4">
        <f t="shared" si="9"/>
        <v>0</v>
      </c>
      <c r="H78" s="4">
        <f t="shared" si="9"/>
        <v>0</v>
      </c>
      <c r="I78" s="4">
        <f t="shared" si="9"/>
        <v>0</v>
      </c>
      <c r="J78" s="4">
        <f t="shared" si="9"/>
        <v>0</v>
      </c>
      <c r="K78" s="4">
        <f t="shared" si="9"/>
        <v>0</v>
      </c>
      <c r="L78" s="4">
        <f t="shared" si="9"/>
        <v>0</v>
      </c>
      <c r="M78" s="4">
        <f t="shared" si="9"/>
        <v>0</v>
      </c>
      <c r="N78" s="4">
        <f t="shared" si="9"/>
        <v>0</v>
      </c>
      <c r="O78" s="4">
        <f t="shared" si="9"/>
        <v>0</v>
      </c>
      <c r="P78" s="4">
        <f t="shared" si="9"/>
        <v>0</v>
      </c>
      <c r="Q78" s="4">
        <f t="shared" si="9"/>
        <v>0</v>
      </c>
      <c r="R78" s="4">
        <f t="shared" si="9"/>
        <v>0</v>
      </c>
      <c r="S78" s="4">
        <f t="shared" si="9"/>
        <v>0</v>
      </c>
      <c r="T78" s="4">
        <f t="shared" si="9"/>
        <v>0</v>
      </c>
      <c r="U78" s="4">
        <f t="shared" si="9"/>
        <v>23922.799999999999</v>
      </c>
      <c r="V78" s="20"/>
      <c r="W78" s="21"/>
      <c r="X78" s="20"/>
      <c r="Y78" s="20"/>
      <c r="Z78" s="20"/>
      <c r="AA78" s="20"/>
      <c r="AB78" s="20"/>
    </row>
    <row r="79" spans="1:28" s="25" customFormat="1">
      <c r="A79" s="29" t="s">
        <v>172</v>
      </c>
      <c r="B79" s="30"/>
      <c r="C79" s="5">
        <f>23972.5+23922.8</f>
        <v>47895.3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>
        <f>SUM(C79:T79)</f>
        <v>47895.3</v>
      </c>
      <c r="W79" s="28"/>
    </row>
    <row r="80" spans="1:28" s="11" customFormat="1">
      <c r="A80" s="259" t="s">
        <v>107</v>
      </c>
      <c r="B80" s="260"/>
      <c r="C80" s="265" t="s">
        <v>108</v>
      </c>
      <c r="D80" s="265"/>
      <c r="E80" s="265" t="s">
        <v>109</v>
      </c>
      <c r="F80" s="265"/>
      <c r="G80" s="265" t="s">
        <v>110</v>
      </c>
      <c r="H80" s="265"/>
      <c r="I80" s="265" t="s">
        <v>111</v>
      </c>
      <c r="J80" s="265"/>
      <c r="K80" s="265" t="s">
        <v>112</v>
      </c>
      <c r="L80" s="265"/>
      <c r="M80" s="265"/>
      <c r="N80" s="147" t="s">
        <v>113</v>
      </c>
      <c r="O80" s="265" t="s">
        <v>114</v>
      </c>
      <c r="P80" s="265"/>
      <c r="Q80" s="265"/>
      <c r="R80" s="147" t="s">
        <v>115</v>
      </c>
      <c r="S80" s="147" t="s">
        <v>116</v>
      </c>
      <c r="T80" s="147" t="s">
        <v>117</v>
      </c>
      <c r="U80" s="257" t="s">
        <v>44</v>
      </c>
      <c r="W80" s="12"/>
    </row>
    <row r="81" spans="1:28" ht="14.25" customHeight="1">
      <c r="A81" s="261"/>
      <c r="B81" s="262"/>
      <c r="C81" s="258" t="s">
        <v>118</v>
      </c>
      <c r="D81" s="258"/>
      <c r="E81" s="257" t="s">
        <v>119</v>
      </c>
      <c r="F81" s="257"/>
      <c r="G81" s="257" t="s">
        <v>120</v>
      </c>
      <c r="H81" s="257"/>
      <c r="I81" s="258" t="s">
        <v>121</v>
      </c>
      <c r="J81" s="258"/>
      <c r="K81" s="258" t="s">
        <v>122</v>
      </c>
      <c r="L81" s="258"/>
      <c r="M81" s="258"/>
      <c r="N81" s="258" t="s">
        <v>123</v>
      </c>
      <c r="O81" s="258" t="s">
        <v>124</v>
      </c>
      <c r="P81" s="258"/>
      <c r="Q81" s="258"/>
      <c r="R81" s="258" t="s">
        <v>125</v>
      </c>
      <c r="S81" s="258" t="s">
        <v>126</v>
      </c>
      <c r="T81" s="258" t="s">
        <v>127</v>
      </c>
      <c r="U81" s="257"/>
    </row>
    <row r="82" spans="1:28">
      <c r="A82" s="261"/>
      <c r="B82" s="262"/>
      <c r="C82" s="258"/>
      <c r="D82" s="258"/>
      <c r="E82" s="257"/>
      <c r="F82" s="257"/>
      <c r="G82" s="257"/>
      <c r="H82" s="257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7"/>
    </row>
    <row r="83" spans="1:28">
      <c r="A83" s="261"/>
      <c r="B83" s="262"/>
      <c r="C83" s="258"/>
      <c r="D83" s="258"/>
      <c r="E83" s="257"/>
      <c r="F83" s="257"/>
      <c r="G83" s="257"/>
      <c r="H83" s="257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7"/>
    </row>
    <row r="84" spans="1:28" s="11" customFormat="1">
      <c r="A84" s="261"/>
      <c r="B84" s="262"/>
      <c r="C84" s="147" t="s">
        <v>128</v>
      </c>
      <c r="D84" s="147" t="s">
        <v>129</v>
      </c>
      <c r="E84" s="147" t="s">
        <v>130</v>
      </c>
      <c r="F84" s="147" t="s">
        <v>131</v>
      </c>
      <c r="G84" s="147" t="s">
        <v>132</v>
      </c>
      <c r="H84" s="147" t="s">
        <v>133</v>
      </c>
      <c r="I84" s="147" t="s">
        <v>134</v>
      </c>
      <c r="J84" s="147" t="s">
        <v>135</v>
      </c>
      <c r="K84" s="147" t="s">
        <v>136</v>
      </c>
      <c r="L84" s="147" t="s">
        <v>137</v>
      </c>
      <c r="M84" s="147" t="s">
        <v>138</v>
      </c>
      <c r="N84" s="147" t="s">
        <v>139</v>
      </c>
      <c r="O84" s="147" t="s">
        <v>140</v>
      </c>
      <c r="P84" s="147" t="s">
        <v>141</v>
      </c>
      <c r="Q84" s="147" t="s">
        <v>142</v>
      </c>
      <c r="R84" s="147" t="s">
        <v>143</v>
      </c>
      <c r="S84" s="147" t="s">
        <v>144</v>
      </c>
      <c r="T84" s="147" t="s">
        <v>145</v>
      </c>
      <c r="U84" s="257"/>
      <c r="W84" s="12"/>
    </row>
    <row r="85" spans="1:28" s="13" customFormat="1" ht="14.25" customHeight="1">
      <c r="A85" s="261"/>
      <c r="B85" s="262"/>
      <c r="C85" s="258" t="s">
        <v>146</v>
      </c>
      <c r="D85" s="258" t="s">
        <v>147</v>
      </c>
      <c r="E85" s="258" t="s">
        <v>148</v>
      </c>
      <c r="F85" s="258" t="s">
        <v>149</v>
      </c>
      <c r="G85" s="258" t="s">
        <v>150</v>
      </c>
      <c r="H85" s="258" t="s">
        <v>151</v>
      </c>
      <c r="I85" s="258" t="s">
        <v>152</v>
      </c>
      <c r="J85" s="258" t="s">
        <v>153</v>
      </c>
      <c r="K85" s="258" t="s">
        <v>154</v>
      </c>
      <c r="L85" s="258" t="s">
        <v>155</v>
      </c>
      <c r="M85" s="258" t="s">
        <v>156</v>
      </c>
      <c r="N85" s="258" t="s">
        <v>157</v>
      </c>
      <c r="O85" s="258" t="s">
        <v>158</v>
      </c>
      <c r="P85" s="258" t="s">
        <v>159</v>
      </c>
      <c r="Q85" s="258" t="s">
        <v>160</v>
      </c>
      <c r="R85" s="258" t="s">
        <v>161</v>
      </c>
      <c r="S85" s="258" t="s">
        <v>162</v>
      </c>
      <c r="T85" s="258" t="s">
        <v>163</v>
      </c>
      <c r="U85" s="257"/>
      <c r="W85" s="12"/>
    </row>
    <row r="86" spans="1:28" s="13" customFormat="1">
      <c r="A86" s="261"/>
      <c r="B86" s="262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7"/>
      <c r="W86" s="12"/>
    </row>
    <row r="87" spans="1:28">
      <c r="A87" s="261"/>
      <c r="B87" s="262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7"/>
    </row>
    <row r="88" spans="1:28">
      <c r="A88" s="263"/>
      <c r="B88" s="264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7"/>
    </row>
    <row r="89" spans="1:28">
      <c r="A89" s="31" t="s">
        <v>25</v>
      </c>
      <c r="B89" s="3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4"/>
      <c r="X89" s="33"/>
      <c r="Y89" s="33"/>
      <c r="Z89" s="33"/>
      <c r="AA89" s="33"/>
      <c r="AB89" s="33"/>
    </row>
    <row r="90" spans="1:28">
      <c r="A90" s="16"/>
      <c r="B90" s="17" t="s">
        <v>205</v>
      </c>
      <c r="C90" s="3">
        <f>29035.52+15529.67</f>
        <v>44565.19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>
        <f>SUM(C90:T90)</f>
        <v>44565.19</v>
      </c>
      <c r="V90" s="33"/>
      <c r="W90" s="34"/>
      <c r="X90" s="33"/>
      <c r="Y90" s="33"/>
      <c r="Z90" s="33"/>
      <c r="AA90" s="33"/>
      <c r="AB90" s="33"/>
    </row>
    <row r="91" spans="1:28">
      <c r="A91" s="16"/>
      <c r="B91" s="17" t="s">
        <v>206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>
        <f>SUM(C91:T91)</f>
        <v>0</v>
      </c>
      <c r="V91" s="33"/>
      <c r="W91" s="34"/>
      <c r="X91" s="33"/>
      <c r="Y91" s="33"/>
      <c r="Z91" s="33"/>
      <c r="AA91" s="33"/>
      <c r="AB91" s="33"/>
    </row>
    <row r="92" spans="1:28">
      <c r="A92" s="16"/>
      <c r="B92" s="17" t="s">
        <v>207</v>
      </c>
      <c r="C92" s="3">
        <f>631.3+278.52+214.48</f>
        <v>1124.3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>
        <f>SUM(C92:T92)</f>
        <v>1124.3</v>
      </c>
      <c r="V92" s="33"/>
      <c r="W92" s="34"/>
      <c r="X92" s="33"/>
      <c r="Y92" s="33"/>
      <c r="Z92" s="33"/>
      <c r="AA92" s="33"/>
      <c r="AB92" s="33"/>
    </row>
    <row r="93" spans="1:28">
      <c r="A93" s="16"/>
      <c r="B93" s="17" t="s">
        <v>208</v>
      </c>
      <c r="C93" s="3">
        <f>5453</f>
        <v>5453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>
        <f>SUM(C93:T93)</f>
        <v>5453</v>
      </c>
      <c r="V93" s="33"/>
      <c r="W93" s="34"/>
      <c r="X93" s="33"/>
      <c r="Y93" s="33"/>
      <c r="Z93" s="33"/>
      <c r="AA93" s="33"/>
      <c r="AB93" s="33"/>
    </row>
    <row r="94" spans="1:28">
      <c r="A94" s="16"/>
      <c r="B94" s="17" t="s">
        <v>270</v>
      </c>
      <c r="C94" s="3">
        <f>5842.2</f>
        <v>5842.2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>
        <f>SUM(C94:T94)</f>
        <v>5842.2</v>
      </c>
      <c r="V94" s="33"/>
      <c r="W94" s="34"/>
      <c r="X94" s="33"/>
      <c r="Y94" s="33"/>
      <c r="Z94" s="33"/>
      <c r="AA94" s="33"/>
      <c r="AB94" s="33"/>
    </row>
    <row r="95" spans="1:28" s="22" customFormat="1">
      <c r="A95" s="18" t="s">
        <v>171</v>
      </c>
      <c r="B95" s="19"/>
      <c r="C95" s="4">
        <f>SUM(C90:C94)</f>
        <v>56984.69</v>
      </c>
      <c r="D95" s="4">
        <f t="shared" ref="D95:T95" si="10">SUM(D90:D93)</f>
        <v>0</v>
      </c>
      <c r="E95" s="4">
        <f t="shared" si="10"/>
        <v>0</v>
      </c>
      <c r="F95" s="4">
        <f t="shared" si="10"/>
        <v>0</v>
      </c>
      <c r="G95" s="4">
        <f t="shared" si="10"/>
        <v>0</v>
      </c>
      <c r="H95" s="4">
        <f t="shared" si="10"/>
        <v>0</v>
      </c>
      <c r="I95" s="4">
        <f t="shared" si="10"/>
        <v>0</v>
      </c>
      <c r="J95" s="4">
        <f t="shared" si="10"/>
        <v>0</v>
      </c>
      <c r="K95" s="4">
        <f t="shared" si="10"/>
        <v>0</v>
      </c>
      <c r="L95" s="4">
        <f t="shared" si="10"/>
        <v>0</v>
      </c>
      <c r="M95" s="4">
        <f t="shared" si="10"/>
        <v>0</v>
      </c>
      <c r="N95" s="4">
        <f t="shared" si="10"/>
        <v>0</v>
      </c>
      <c r="O95" s="4">
        <f t="shared" si="10"/>
        <v>0</v>
      </c>
      <c r="P95" s="4">
        <f t="shared" si="10"/>
        <v>0</v>
      </c>
      <c r="Q95" s="4">
        <f t="shared" si="10"/>
        <v>0</v>
      </c>
      <c r="R95" s="4">
        <f t="shared" si="10"/>
        <v>0</v>
      </c>
      <c r="S95" s="4">
        <f t="shared" si="10"/>
        <v>0</v>
      </c>
      <c r="T95" s="4">
        <f t="shared" si="10"/>
        <v>0</v>
      </c>
      <c r="U95" s="4">
        <f>SUM(U90:U94)</f>
        <v>56984.69</v>
      </c>
      <c r="V95" s="20"/>
      <c r="W95" s="21"/>
      <c r="X95" s="20"/>
      <c r="Y95" s="20"/>
      <c r="Z95" s="20"/>
      <c r="AA95" s="20"/>
      <c r="AB95" s="20"/>
    </row>
    <row r="96" spans="1:28" s="25" customFormat="1">
      <c r="A96" s="29" t="s">
        <v>172</v>
      </c>
      <c r="B96" s="30"/>
      <c r="C96" s="5">
        <f>20085.94+72373.78+56984.69</f>
        <v>149444.41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f>SUM(C96:T96)</f>
        <v>149444.41</v>
      </c>
      <c r="W96" s="28"/>
    </row>
    <row r="97" spans="1:28">
      <c r="A97" s="14" t="s">
        <v>27</v>
      </c>
      <c r="B97" s="1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33"/>
      <c r="W97" s="34"/>
      <c r="X97" s="33"/>
      <c r="Y97" s="33"/>
      <c r="Z97" s="33"/>
      <c r="AA97" s="33"/>
      <c r="AB97" s="33"/>
    </row>
    <row r="98" spans="1:28">
      <c r="A98" s="16"/>
      <c r="B98" s="17" t="s">
        <v>209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>
        <f>SUM(C98:T98)</f>
        <v>0</v>
      </c>
      <c r="V98" s="33"/>
      <c r="W98" s="34"/>
      <c r="X98" s="33"/>
      <c r="Y98" s="33"/>
      <c r="Z98" s="33"/>
      <c r="AA98" s="33"/>
      <c r="AB98" s="33"/>
    </row>
    <row r="99" spans="1:28">
      <c r="A99" s="16"/>
      <c r="B99" s="17" t="s">
        <v>210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>
        <f>SUM(C99:T99)</f>
        <v>0</v>
      </c>
      <c r="V99" s="33"/>
      <c r="W99" s="34"/>
      <c r="X99" s="33"/>
      <c r="Y99" s="33"/>
      <c r="Z99" s="33"/>
      <c r="AA99" s="33"/>
      <c r="AB99" s="33"/>
    </row>
    <row r="100" spans="1:28">
      <c r="A100" s="16"/>
      <c r="B100" s="17" t="s">
        <v>211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>
        <f>SUM(C100:T100)</f>
        <v>0</v>
      </c>
      <c r="V100" s="33"/>
      <c r="W100" s="34"/>
      <c r="X100" s="33"/>
      <c r="Y100" s="33"/>
      <c r="Z100" s="33"/>
      <c r="AA100" s="33"/>
      <c r="AB100" s="33"/>
    </row>
    <row r="101" spans="1:28" s="22" customFormat="1" ht="18" customHeight="1">
      <c r="A101" s="18" t="s">
        <v>171</v>
      </c>
      <c r="B101" s="19"/>
      <c r="C101" s="4">
        <f>SUM(C98:C100)</f>
        <v>0</v>
      </c>
      <c r="D101" s="4">
        <f t="shared" ref="D101:T101" si="11">SUM(D98:D100)</f>
        <v>0</v>
      </c>
      <c r="E101" s="4">
        <f t="shared" si="11"/>
        <v>0</v>
      </c>
      <c r="F101" s="4">
        <f t="shared" si="11"/>
        <v>0</v>
      </c>
      <c r="G101" s="4">
        <f t="shared" si="11"/>
        <v>0</v>
      </c>
      <c r="H101" s="4">
        <f t="shared" si="11"/>
        <v>0</v>
      </c>
      <c r="I101" s="4">
        <f t="shared" si="11"/>
        <v>0</v>
      </c>
      <c r="J101" s="4">
        <f t="shared" si="11"/>
        <v>0</v>
      </c>
      <c r="K101" s="4">
        <f t="shared" si="11"/>
        <v>0</v>
      </c>
      <c r="L101" s="4">
        <f t="shared" si="11"/>
        <v>0</v>
      </c>
      <c r="M101" s="4">
        <f t="shared" si="11"/>
        <v>0</v>
      </c>
      <c r="N101" s="4">
        <f t="shared" si="11"/>
        <v>0</v>
      </c>
      <c r="O101" s="4">
        <f t="shared" si="11"/>
        <v>0</v>
      </c>
      <c r="P101" s="4">
        <f t="shared" si="11"/>
        <v>0</v>
      </c>
      <c r="Q101" s="4">
        <f t="shared" si="11"/>
        <v>0</v>
      </c>
      <c r="R101" s="4">
        <f t="shared" si="11"/>
        <v>0</v>
      </c>
      <c r="S101" s="4">
        <f t="shared" si="11"/>
        <v>0</v>
      </c>
      <c r="T101" s="4">
        <f t="shared" si="11"/>
        <v>0</v>
      </c>
      <c r="U101" s="4">
        <f>SUM(C101:T101)</f>
        <v>0</v>
      </c>
      <c r="V101" s="20"/>
      <c r="W101" s="21"/>
      <c r="X101" s="20"/>
      <c r="Y101" s="20"/>
      <c r="Z101" s="20"/>
      <c r="AA101" s="20"/>
      <c r="AB101" s="20"/>
    </row>
    <row r="102" spans="1:28" s="25" customFormat="1">
      <c r="A102" s="29" t="s">
        <v>172</v>
      </c>
      <c r="B102" s="30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>
        <f>SUM(C102:T102)</f>
        <v>0</v>
      </c>
      <c r="W102" s="28"/>
    </row>
    <row r="103" spans="1:28">
      <c r="A103" s="31" t="s">
        <v>29</v>
      </c>
      <c r="B103" s="3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3"/>
      <c r="W103" s="34"/>
      <c r="X103" s="33"/>
      <c r="Y103" s="33"/>
      <c r="Z103" s="33"/>
      <c r="AA103" s="33"/>
      <c r="AB103" s="33"/>
    </row>
    <row r="104" spans="1:28">
      <c r="A104" s="16"/>
      <c r="B104" s="17" t="s">
        <v>212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>
        <f t="shared" ref="U104:U118" si="12">SUM(C104:T104)</f>
        <v>0</v>
      </c>
      <c r="V104" s="33"/>
      <c r="W104" s="34"/>
      <c r="X104" s="33"/>
      <c r="Y104" s="33"/>
      <c r="Z104" s="33"/>
      <c r="AA104" s="33"/>
      <c r="AB104" s="33"/>
    </row>
    <row r="105" spans="1:28">
      <c r="A105" s="16"/>
      <c r="B105" s="17" t="s">
        <v>285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3"/>
      <c r="W105" s="34"/>
      <c r="X105" s="33"/>
      <c r="Y105" s="33"/>
      <c r="Z105" s="33"/>
      <c r="AA105" s="33"/>
      <c r="AB105" s="33"/>
    </row>
    <row r="106" spans="1:28">
      <c r="A106" s="16"/>
      <c r="B106" s="17" t="s">
        <v>286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>
        <f t="shared" si="12"/>
        <v>0</v>
      </c>
      <c r="V106" s="33"/>
      <c r="W106" s="34"/>
      <c r="X106" s="33"/>
      <c r="Y106" s="33"/>
      <c r="Z106" s="33"/>
      <c r="AA106" s="33"/>
      <c r="AB106" s="33"/>
    </row>
    <row r="107" spans="1:28">
      <c r="A107" s="16"/>
      <c r="B107" s="17" t="s">
        <v>275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3"/>
      <c r="W107" s="34"/>
      <c r="X107" s="33"/>
      <c r="Y107" s="33"/>
      <c r="Z107" s="33"/>
      <c r="AA107" s="33"/>
      <c r="AB107" s="33"/>
    </row>
    <row r="108" spans="1:28">
      <c r="A108" s="16"/>
      <c r="B108" s="17" t="s">
        <v>213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>
        <f t="shared" si="12"/>
        <v>0</v>
      </c>
      <c r="V108" s="33"/>
      <c r="W108" s="34"/>
      <c r="X108" s="33"/>
      <c r="Y108" s="33"/>
      <c r="Z108" s="33"/>
      <c r="AA108" s="33"/>
      <c r="AB108" s="33"/>
    </row>
    <row r="109" spans="1:28">
      <c r="A109" s="16"/>
      <c r="B109" s="17" t="s">
        <v>214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>
        <f t="shared" si="12"/>
        <v>0</v>
      </c>
      <c r="V109" s="33"/>
      <c r="W109" s="34"/>
      <c r="X109" s="33"/>
      <c r="Y109" s="33"/>
      <c r="Z109" s="33"/>
      <c r="AA109" s="33"/>
      <c r="AB109" s="33"/>
    </row>
    <row r="110" spans="1:28">
      <c r="A110" s="16"/>
      <c r="B110" s="17" t="s">
        <v>215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>
        <f t="shared" si="12"/>
        <v>0</v>
      </c>
      <c r="V110" s="33"/>
      <c r="W110" s="34"/>
      <c r="X110" s="33"/>
      <c r="Y110" s="33"/>
      <c r="Z110" s="33"/>
      <c r="AA110" s="33"/>
      <c r="AB110" s="33"/>
    </row>
    <row r="111" spans="1:28">
      <c r="A111" s="16"/>
      <c r="B111" s="17" t="s">
        <v>216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>
        <f t="shared" si="12"/>
        <v>0</v>
      </c>
      <c r="V111" s="33"/>
      <c r="W111" s="34"/>
      <c r="X111" s="33"/>
      <c r="Y111" s="33"/>
      <c r="Z111" s="33"/>
      <c r="AA111" s="33"/>
      <c r="AB111" s="33"/>
    </row>
    <row r="112" spans="1:28">
      <c r="A112" s="16"/>
      <c r="B112" s="17" t="s">
        <v>274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>
        <f t="shared" si="12"/>
        <v>0</v>
      </c>
      <c r="V112" s="33"/>
      <c r="W112" s="34"/>
      <c r="X112" s="33"/>
      <c r="Y112" s="33"/>
      <c r="Z112" s="33"/>
      <c r="AA112" s="33"/>
      <c r="AB112" s="33"/>
    </row>
    <row r="113" spans="1:28" s="22" customFormat="1">
      <c r="A113" s="18" t="s">
        <v>171</v>
      </c>
      <c r="B113" s="19"/>
      <c r="C113" s="4">
        <f>SUM(C104:C112)</f>
        <v>0</v>
      </c>
      <c r="D113" s="4">
        <f t="shared" ref="D113:T113" si="13">SUM(D104:D112)</f>
        <v>0</v>
      </c>
      <c r="E113" s="4">
        <f t="shared" si="13"/>
        <v>0</v>
      </c>
      <c r="F113" s="4">
        <f t="shared" si="13"/>
        <v>0</v>
      </c>
      <c r="G113" s="4">
        <f t="shared" si="13"/>
        <v>0</v>
      </c>
      <c r="H113" s="4">
        <f t="shared" si="13"/>
        <v>0</v>
      </c>
      <c r="I113" s="4">
        <f t="shared" si="13"/>
        <v>0</v>
      </c>
      <c r="J113" s="4">
        <f t="shared" si="13"/>
        <v>0</v>
      </c>
      <c r="K113" s="4">
        <f t="shared" si="13"/>
        <v>0</v>
      </c>
      <c r="L113" s="4">
        <f t="shared" si="13"/>
        <v>0</v>
      </c>
      <c r="M113" s="4">
        <f t="shared" si="13"/>
        <v>0</v>
      </c>
      <c r="N113" s="4">
        <f t="shared" si="13"/>
        <v>0</v>
      </c>
      <c r="O113" s="4">
        <f t="shared" si="13"/>
        <v>0</v>
      </c>
      <c r="P113" s="4">
        <f t="shared" si="13"/>
        <v>0</v>
      </c>
      <c r="Q113" s="4">
        <f t="shared" si="13"/>
        <v>0</v>
      </c>
      <c r="R113" s="4">
        <f t="shared" si="13"/>
        <v>0</v>
      </c>
      <c r="S113" s="4">
        <f t="shared" si="13"/>
        <v>0</v>
      </c>
      <c r="T113" s="4">
        <f t="shared" si="13"/>
        <v>0</v>
      </c>
      <c r="U113" s="4">
        <f t="shared" si="12"/>
        <v>0</v>
      </c>
      <c r="V113" s="20"/>
      <c r="W113" s="21"/>
      <c r="X113" s="20"/>
      <c r="Y113" s="20"/>
      <c r="Z113" s="20"/>
      <c r="AA113" s="20"/>
      <c r="AB113" s="20"/>
    </row>
    <row r="114" spans="1:28" s="25" customFormat="1">
      <c r="A114" s="29" t="s">
        <v>172</v>
      </c>
      <c r="B114" s="30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>
        <f t="shared" si="12"/>
        <v>0</v>
      </c>
      <c r="W114" s="28"/>
    </row>
    <row r="115" spans="1:28">
      <c r="A115" s="31" t="s">
        <v>31</v>
      </c>
      <c r="B115" s="3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7">
        <f t="shared" si="12"/>
        <v>0</v>
      </c>
      <c r="V115" s="33"/>
      <c r="W115" s="34"/>
      <c r="X115" s="33"/>
      <c r="Y115" s="33"/>
      <c r="Z115" s="33"/>
      <c r="AA115" s="33"/>
      <c r="AB115" s="33"/>
    </row>
    <row r="116" spans="1:28">
      <c r="A116" s="26" t="s">
        <v>38</v>
      </c>
      <c r="B116" s="1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7">
        <f t="shared" si="12"/>
        <v>0</v>
      </c>
      <c r="V116" s="33"/>
      <c r="W116" s="34"/>
      <c r="X116" s="33"/>
      <c r="Y116" s="33"/>
      <c r="Z116" s="33"/>
      <c r="AA116" s="33"/>
      <c r="AB116" s="33"/>
    </row>
    <row r="117" spans="1:28" s="22" customFormat="1">
      <c r="A117" s="18" t="s">
        <v>171</v>
      </c>
      <c r="B117" s="19"/>
      <c r="C117" s="8">
        <f>SUM(C116)</f>
        <v>0</v>
      </c>
      <c r="D117" s="8">
        <f t="shared" ref="D117:T117" si="14">SUM(D116)</f>
        <v>0</v>
      </c>
      <c r="E117" s="8">
        <f t="shared" si="14"/>
        <v>0</v>
      </c>
      <c r="F117" s="8">
        <f t="shared" si="14"/>
        <v>0</v>
      </c>
      <c r="G117" s="8">
        <f t="shared" si="14"/>
        <v>0</v>
      </c>
      <c r="H117" s="8">
        <f t="shared" si="14"/>
        <v>0</v>
      </c>
      <c r="I117" s="8">
        <f t="shared" si="14"/>
        <v>0</v>
      </c>
      <c r="J117" s="8">
        <f t="shared" si="14"/>
        <v>0</v>
      </c>
      <c r="K117" s="8">
        <f>SUM(K115:K116)</f>
        <v>0</v>
      </c>
      <c r="L117" s="8">
        <f>SUM(L115:L116)</f>
        <v>0</v>
      </c>
      <c r="M117" s="8">
        <f t="shared" si="14"/>
        <v>0</v>
      </c>
      <c r="N117" s="8">
        <f t="shared" si="14"/>
        <v>0</v>
      </c>
      <c r="O117" s="8">
        <f t="shared" si="14"/>
        <v>0</v>
      </c>
      <c r="P117" s="8">
        <f t="shared" si="14"/>
        <v>0</v>
      </c>
      <c r="Q117" s="8">
        <f t="shared" si="14"/>
        <v>0</v>
      </c>
      <c r="R117" s="8">
        <f t="shared" si="14"/>
        <v>0</v>
      </c>
      <c r="S117" s="8">
        <f t="shared" si="14"/>
        <v>0</v>
      </c>
      <c r="T117" s="8">
        <f t="shared" si="14"/>
        <v>0</v>
      </c>
      <c r="U117" s="8">
        <f t="shared" si="12"/>
        <v>0</v>
      </c>
      <c r="V117" s="20"/>
      <c r="W117" s="21">
        <f>SUM(U118-C118)</f>
        <v>210825.84</v>
      </c>
      <c r="X117" s="20"/>
      <c r="Y117" s="20"/>
      <c r="Z117" s="20"/>
      <c r="AA117" s="20"/>
      <c r="AB117" s="20"/>
    </row>
    <row r="118" spans="1:28" s="25" customFormat="1" ht="13.5" customHeight="1">
      <c r="A118" s="29" t="s">
        <v>172</v>
      </c>
      <c r="B118" s="30"/>
      <c r="C118" s="48">
        <v>0</v>
      </c>
      <c r="D118" s="48"/>
      <c r="E118" s="48"/>
      <c r="F118" s="48"/>
      <c r="G118" s="48"/>
      <c r="H118" s="48">
        <f>210825.84</f>
        <v>210825.84</v>
      </c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>
        <f t="shared" si="12"/>
        <v>210825.84</v>
      </c>
      <c r="W118" s="28"/>
    </row>
    <row r="119" spans="1:28" s="11" customFormat="1">
      <c r="A119" s="259" t="s">
        <v>107</v>
      </c>
      <c r="B119" s="260"/>
      <c r="C119" s="265" t="s">
        <v>108</v>
      </c>
      <c r="D119" s="265"/>
      <c r="E119" s="265" t="s">
        <v>109</v>
      </c>
      <c r="F119" s="265"/>
      <c r="G119" s="265" t="s">
        <v>110</v>
      </c>
      <c r="H119" s="265"/>
      <c r="I119" s="265" t="s">
        <v>111</v>
      </c>
      <c r="J119" s="265"/>
      <c r="K119" s="265" t="s">
        <v>112</v>
      </c>
      <c r="L119" s="265"/>
      <c r="M119" s="265"/>
      <c r="N119" s="147" t="s">
        <v>113</v>
      </c>
      <c r="O119" s="265" t="s">
        <v>114</v>
      </c>
      <c r="P119" s="265"/>
      <c r="Q119" s="265"/>
      <c r="R119" s="147" t="s">
        <v>115</v>
      </c>
      <c r="S119" s="147" t="s">
        <v>116</v>
      </c>
      <c r="T119" s="147" t="s">
        <v>117</v>
      </c>
      <c r="U119" s="257" t="s">
        <v>44</v>
      </c>
      <c r="W119" s="12"/>
    </row>
    <row r="120" spans="1:28" ht="14.25" customHeight="1">
      <c r="A120" s="261"/>
      <c r="B120" s="262"/>
      <c r="C120" s="258" t="s">
        <v>118</v>
      </c>
      <c r="D120" s="258"/>
      <c r="E120" s="257" t="s">
        <v>119</v>
      </c>
      <c r="F120" s="257"/>
      <c r="G120" s="257" t="s">
        <v>120</v>
      </c>
      <c r="H120" s="257"/>
      <c r="I120" s="258" t="s">
        <v>121</v>
      </c>
      <c r="J120" s="258"/>
      <c r="K120" s="258" t="s">
        <v>122</v>
      </c>
      <c r="L120" s="258"/>
      <c r="M120" s="258"/>
      <c r="N120" s="258" t="s">
        <v>123</v>
      </c>
      <c r="O120" s="258" t="s">
        <v>124</v>
      </c>
      <c r="P120" s="258"/>
      <c r="Q120" s="258"/>
      <c r="R120" s="258" t="s">
        <v>125</v>
      </c>
      <c r="S120" s="258" t="s">
        <v>126</v>
      </c>
      <c r="T120" s="258" t="s">
        <v>127</v>
      </c>
      <c r="U120" s="257"/>
    </row>
    <row r="121" spans="1:28">
      <c r="A121" s="261"/>
      <c r="B121" s="262"/>
      <c r="C121" s="258"/>
      <c r="D121" s="258"/>
      <c r="E121" s="257"/>
      <c r="F121" s="257"/>
      <c r="G121" s="257"/>
      <c r="H121" s="257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7"/>
    </row>
    <row r="122" spans="1:28">
      <c r="A122" s="261"/>
      <c r="B122" s="262"/>
      <c r="C122" s="258"/>
      <c r="D122" s="258"/>
      <c r="E122" s="257"/>
      <c r="F122" s="257"/>
      <c r="G122" s="257"/>
      <c r="H122" s="257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7"/>
    </row>
    <row r="123" spans="1:28" s="11" customFormat="1">
      <c r="A123" s="261"/>
      <c r="B123" s="262"/>
      <c r="C123" s="147" t="s">
        <v>128</v>
      </c>
      <c r="D123" s="147" t="s">
        <v>129</v>
      </c>
      <c r="E123" s="147" t="s">
        <v>130</v>
      </c>
      <c r="F123" s="147" t="s">
        <v>131</v>
      </c>
      <c r="G123" s="147" t="s">
        <v>132</v>
      </c>
      <c r="H123" s="147" t="s">
        <v>133</v>
      </c>
      <c r="I123" s="147" t="s">
        <v>134</v>
      </c>
      <c r="J123" s="147" t="s">
        <v>135</v>
      </c>
      <c r="K123" s="147" t="s">
        <v>136</v>
      </c>
      <c r="L123" s="147" t="s">
        <v>137</v>
      </c>
      <c r="M123" s="147" t="s">
        <v>138</v>
      </c>
      <c r="N123" s="147" t="s">
        <v>139</v>
      </c>
      <c r="O123" s="147" t="s">
        <v>140</v>
      </c>
      <c r="P123" s="147" t="s">
        <v>141</v>
      </c>
      <c r="Q123" s="147" t="s">
        <v>142</v>
      </c>
      <c r="R123" s="147" t="s">
        <v>143</v>
      </c>
      <c r="S123" s="147" t="s">
        <v>144</v>
      </c>
      <c r="T123" s="147" t="s">
        <v>145</v>
      </c>
      <c r="U123" s="257"/>
      <c r="W123" s="12"/>
    </row>
    <row r="124" spans="1:28" s="13" customFormat="1" ht="14.25" customHeight="1">
      <c r="A124" s="261"/>
      <c r="B124" s="262"/>
      <c r="C124" s="258" t="s">
        <v>146</v>
      </c>
      <c r="D124" s="258" t="s">
        <v>147</v>
      </c>
      <c r="E124" s="258" t="s">
        <v>148</v>
      </c>
      <c r="F124" s="258" t="s">
        <v>149</v>
      </c>
      <c r="G124" s="258" t="s">
        <v>150</v>
      </c>
      <c r="H124" s="258" t="s">
        <v>151</v>
      </c>
      <c r="I124" s="258" t="s">
        <v>152</v>
      </c>
      <c r="J124" s="258" t="s">
        <v>153</v>
      </c>
      <c r="K124" s="258" t="s">
        <v>154</v>
      </c>
      <c r="L124" s="258" t="s">
        <v>155</v>
      </c>
      <c r="M124" s="258" t="s">
        <v>156</v>
      </c>
      <c r="N124" s="258" t="s">
        <v>157</v>
      </c>
      <c r="O124" s="258" t="s">
        <v>158</v>
      </c>
      <c r="P124" s="258" t="s">
        <v>159</v>
      </c>
      <c r="Q124" s="258" t="s">
        <v>160</v>
      </c>
      <c r="R124" s="258" t="s">
        <v>161</v>
      </c>
      <c r="S124" s="258" t="s">
        <v>162</v>
      </c>
      <c r="T124" s="258" t="s">
        <v>163</v>
      </c>
      <c r="U124" s="257"/>
      <c r="W124" s="12"/>
    </row>
    <row r="125" spans="1:28" s="13" customFormat="1">
      <c r="A125" s="261"/>
      <c r="B125" s="262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7"/>
      <c r="W125" s="12"/>
    </row>
    <row r="126" spans="1:28">
      <c r="A126" s="261"/>
      <c r="B126" s="262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7"/>
    </row>
    <row r="127" spans="1:28">
      <c r="A127" s="263"/>
      <c r="B127" s="264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7"/>
    </row>
    <row r="128" spans="1:28">
      <c r="A128" s="31" t="s">
        <v>353</v>
      </c>
      <c r="B128" s="32"/>
      <c r="C128" s="6"/>
      <c r="D128" s="6"/>
      <c r="E128" s="6"/>
      <c r="F128" s="6"/>
      <c r="G128" s="6">
        <f>56700+92210</f>
        <v>148910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>
        <f>410300+44500+2835+1090</f>
        <v>458725</v>
      </c>
      <c r="U128" s="7">
        <f t="shared" ref="U128:U131" si="15">SUM(C128:T128)</f>
        <v>607635</v>
      </c>
      <c r="V128" s="33"/>
      <c r="W128" s="34"/>
      <c r="X128" s="33"/>
      <c r="Y128" s="33"/>
      <c r="Z128" s="33"/>
      <c r="AA128" s="33"/>
      <c r="AB128" s="33"/>
    </row>
    <row r="129" spans="1:28">
      <c r="A129" s="26"/>
      <c r="B129" s="1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7">
        <f t="shared" si="15"/>
        <v>0</v>
      </c>
      <c r="V129" s="33"/>
      <c r="W129" s="34"/>
      <c r="X129" s="33"/>
      <c r="Y129" s="33"/>
      <c r="Z129" s="33"/>
      <c r="AA129" s="33"/>
      <c r="AB129" s="33"/>
    </row>
    <row r="130" spans="1:28" s="22" customFormat="1">
      <c r="A130" s="18" t="s">
        <v>171</v>
      </c>
      <c r="B130" s="19"/>
      <c r="C130" s="8">
        <f t="shared" ref="C130:M130" si="16">SUM(C128:C129)</f>
        <v>0</v>
      </c>
      <c r="D130" s="8">
        <f t="shared" si="16"/>
        <v>0</v>
      </c>
      <c r="E130" s="8">
        <f t="shared" si="16"/>
        <v>0</v>
      </c>
      <c r="F130" s="8">
        <f t="shared" si="16"/>
        <v>0</v>
      </c>
      <c r="G130" s="8">
        <f t="shared" si="16"/>
        <v>148910</v>
      </c>
      <c r="H130" s="8">
        <f t="shared" si="16"/>
        <v>0</v>
      </c>
      <c r="I130" s="8">
        <f t="shared" si="16"/>
        <v>0</v>
      </c>
      <c r="J130" s="8">
        <f t="shared" si="16"/>
        <v>0</v>
      </c>
      <c r="K130" s="8">
        <f t="shared" si="16"/>
        <v>0</v>
      </c>
      <c r="L130" s="8">
        <f t="shared" si="16"/>
        <v>0</v>
      </c>
      <c r="M130" s="8">
        <f t="shared" si="16"/>
        <v>0</v>
      </c>
      <c r="N130" s="8">
        <f>SUM(N128:N129)</f>
        <v>0</v>
      </c>
      <c r="O130" s="8">
        <f t="shared" ref="O130:T130" si="17">SUM(O128:O129)</f>
        <v>0</v>
      </c>
      <c r="P130" s="8">
        <f t="shared" si="17"/>
        <v>0</v>
      </c>
      <c r="Q130" s="8">
        <f t="shared" si="17"/>
        <v>0</v>
      </c>
      <c r="R130" s="8">
        <f t="shared" si="17"/>
        <v>0</v>
      </c>
      <c r="S130" s="8">
        <f t="shared" si="17"/>
        <v>0</v>
      </c>
      <c r="T130" s="8">
        <f t="shared" si="17"/>
        <v>458725</v>
      </c>
      <c r="U130" s="8">
        <f t="shared" si="15"/>
        <v>607635</v>
      </c>
      <c r="V130" s="20"/>
      <c r="W130" s="21"/>
      <c r="X130" s="20"/>
      <c r="Y130" s="20"/>
      <c r="Z130" s="20"/>
      <c r="AA130" s="20"/>
      <c r="AB130" s="20"/>
    </row>
    <row r="131" spans="1:28" s="25" customFormat="1" ht="13.5" customHeight="1">
      <c r="A131" s="29" t="s">
        <v>172</v>
      </c>
      <c r="B131" s="30"/>
      <c r="C131" s="48">
        <v>0</v>
      </c>
      <c r="D131" s="48"/>
      <c r="E131" s="48"/>
      <c r="F131" s="48"/>
      <c r="G131" s="144">
        <f>297820+148910</f>
        <v>446730</v>
      </c>
      <c r="H131" s="48"/>
      <c r="I131" s="48"/>
      <c r="J131" s="48"/>
      <c r="K131" s="48"/>
      <c r="L131" s="48">
        <v>0</v>
      </c>
      <c r="M131" s="48"/>
      <c r="N131" s="48"/>
      <c r="O131" s="48"/>
      <c r="P131" s="48"/>
      <c r="Q131" s="48"/>
      <c r="R131" s="48"/>
      <c r="S131" s="48"/>
      <c r="T131" s="143">
        <f>919850+457635+1090</f>
        <v>1378575</v>
      </c>
      <c r="U131" s="48">
        <f t="shared" si="15"/>
        <v>1825305</v>
      </c>
      <c r="W131" s="28"/>
    </row>
    <row r="132" spans="1:28" s="35" customFormat="1">
      <c r="A132" s="45"/>
      <c r="B132" s="46" t="s">
        <v>217</v>
      </c>
      <c r="C132" s="47">
        <f t="shared" ref="C132:U132" si="18">SUM(C117+C113+C101+C95+C78+C64+C56+C38+C28+C22)</f>
        <v>628206.49</v>
      </c>
      <c r="D132" s="47">
        <f t="shared" si="18"/>
        <v>102035</v>
      </c>
      <c r="E132" s="47">
        <f t="shared" si="18"/>
        <v>0</v>
      </c>
      <c r="F132" s="47">
        <f t="shared" si="18"/>
        <v>0</v>
      </c>
      <c r="G132" s="47">
        <f t="shared" si="18"/>
        <v>0</v>
      </c>
      <c r="H132" s="47">
        <f t="shared" si="18"/>
        <v>228524</v>
      </c>
      <c r="I132" s="47">
        <f t="shared" si="18"/>
        <v>0</v>
      </c>
      <c r="J132" s="47">
        <f t="shared" si="18"/>
        <v>0</v>
      </c>
      <c r="K132" s="47">
        <f t="shared" si="18"/>
        <v>107722</v>
      </c>
      <c r="L132" s="47">
        <f t="shared" si="18"/>
        <v>0</v>
      </c>
      <c r="M132" s="47">
        <f t="shared" si="18"/>
        <v>0</v>
      </c>
      <c r="N132" s="47">
        <f t="shared" si="18"/>
        <v>0</v>
      </c>
      <c r="O132" s="47">
        <f t="shared" si="18"/>
        <v>0</v>
      </c>
      <c r="P132" s="47">
        <f t="shared" si="18"/>
        <v>0</v>
      </c>
      <c r="Q132" s="47">
        <f t="shared" si="18"/>
        <v>0</v>
      </c>
      <c r="R132" s="47">
        <f t="shared" si="18"/>
        <v>0</v>
      </c>
      <c r="S132" s="47">
        <f t="shared" si="18"/>
        <v>0</v>
      </c>
      <c r="T132" s="47">
        <f t="shared" si="18"/>
        <v>284679.63</v>
      </c>
      <c r="U132" s="47">
        <f t="shared" si="18"/>
        <v>1351167.12</v>
      </c>
      <c r="V132" s="33"/>
      <c r="W132" s="34">
        <v>1578486.41</v>
      </c>
      <c r="X132" s="33"/>
      <c r="Y132" s="33"/>
      <c r="Z132" s="33"/>
      <c r="AA132" s="33"/>
      <c r="AB132" s="33"/>
    </row>
    <row r="133" spans="1:28" s="38" customFormat="1">
      <c r="A133" s="36"/>
      <c r="B133" s="37" t="s">
        <v>218</v>
      </c>
      <c r="C133" s="9">
        <f t="shared" ref="C133:U133" si="19">SUM(C118+C114+C102+C96+C79+C65+C57+C39+C29+C23)</f>
        <v>1774158.71</v>
      </c>
      <c r="D133" s="9">
        <f t="shared" si="19"/>
        <v>334785</v>
      </c>
      <c r="E133" s="9">
        <f t="shared" si="19"/>
        <v>0</v>
      </c>
      <c r="F133" s="9">
        <f t="shared" si="19"/>
        <v>0</v>
      </c>
      <c r="G133" s="9">
        <f t="shared" si="19"/>
        <v>0</v>
      </c>
      <c r="H133" s="9">
        <f t="shared" si="19"/>
        <v>443539.83999999997</v>
      </c>
      <c r="I133" s="9">
        <f t="shared" si="19"/>
        <v>0</v>
      </c>
      <c r="J133" s="9">
        <f t="shared" si="19"/>
        <v>0</v>
      </c>
      <c r="K133" s="9">
        <f t="shared" si="19"/>
        <v>299362</v>
      </c>
      <c r="L133" s="9">
        <f t="shared" si="19"/>
        <v>0</v>
      </c>
      <c r="M133" s="9">
        <f t="shared" si="19"/>
        <v>0</v>
      </c>
      <c r="N133" s="9">
        <f t="shared" si="19"/>
        <v>0</v>
      </c>
      <c r="O133" s="9">
        <f t="shared" si="19"/>
        <v>0</v>
      </c>
      <c r="P133" s="9">
        <f t="shared" si="19"/>
        <v>0</v>
      </c>
      <c r="Q133" s="9">
        <f t="shared" si="19"/>
        <v>630948</v>
      </c>
      <c r="R133" s="9">
        <f t="shared" si="19"/>
        <v>0</v>
      </c>
      <c r="S133" s="9">
        <f t="shared" si="19"/>
        <v>0</v>
      </c>
      <c r="T133" s="9">
        <f t="shared" si="19"/>
        <v>302289.63</v>
      </c>
      <c r="U133" s="9">
        <f t="shared" si="19"/>
        <v>3785083.1799999997</v>
      </c>
      <c r="V133" s="33"/>
      <c r="W133" s="34">
        <f>8300+8300+8300</f>
        <v>24900</v>
      </c>
      <c r="X133" s="33"/>
      <c r="Y133" s="33"/>
      <c r="Z133" s="33"/>
      <c r="AA133" s="33"/>
      <c r="AB133" s="33"/>
    </row>
    <row r="134" spans="1:28">
      <c r="U134" s="247">
        <f>SUM(U133-U116)</f>
        <v>3785083.1799999997</v>
      </c>
      <c r="V134" s="33"/>
      <c r="W134" s="34"/>
      <c r="X134" s="33"/>
      <c r="Y134" s="33"/>
      <c r="Z134" s="33"/>
      <c r="AA134" s="33"/>
      <c r="AB134" s="33"/>
    </row>
    <row r="135" spans="1:28">
      <c r="B135" s="39"/>
      <c r="C135" s="39" t="s">
        <v>261</v>
      </c>
      <c r="D135" s="39"/>
      <c r="E135" s="40"/>
      <c r="F135" s="40"/>
      <c r="V135" s="33"/>
      <c r="W135" s="142">
        <f>SUM(U132-W132)</f>
        <v>-227319.2899999998</v>
      </c>
      <c r="X135" s="33"/>
      <c r="Y135" s="33"/>
      <c r="Z135" s="33"/>
      <c r="AA135" s="33"/>
      <c r="AB135" s="33"/>
    </row>
    <row r="136" spans="1:28">
      <c r="B136" s="39"/>
      <c r="C136" s="39" t="s">
        <v>319</v>
      </c>
      <c r="D136" s="39"/>
      <c r="E136" s="40"/>
      <c r="F136" s="40"/>
      <c r="V136" s="33"/>
      <c r="W136" s="33"/>
      <c r="X136" s="33"/>
      <c r="Y136" s="33"/>
      <c r="Z136" s="33"/>
      <c r="AA136" s="33"/>
      <c r="AB136" s="33"/>
    </row>
    <row r="137" spans="1:28">
      <c r="B137" s="39"/>
      <c r="C137" s="39" t="s">
        <v>320</v>
      </c>
      <c r="D137" s="39"/>
      <c r="E137" s="40"/>
      <c r="F137" s="40"/>
      <c r="V137" s="33"/>
      <c r="W137" s="142">
        <f>SUM(U131+U133)</f>
        <v>5610388.1799999997</v>
      </c>
      <c r="X137" s="33"/>
      <c r="Y137" s="33"/>
      <c r="Z137" s="33"/>
      <c r="AA137" s="33"/>
      <c r="AB137" s="33"/>
    </row>
    <row r="138" spans="1:28">
      <c r="B138" s="39"/>
      <c r="C138" s="41"/>
      <c r="D138" s="39"/>
      <c r="E138" s="40"/>
      <c r="F138" s="40"/>
      <c r="V138" s="33"/>
      <c r="W138" s="33"/>
      <c r="X138" s="33"/>
      <c r="Y138" s="33"/>
      <c r="Z138" s="33"/>
      <c r="AA138" s="33"/>
      <c r="AB138" s="33"/>
    </row>
    <row r="140" spans="1:28">
      <c r="W140" s="10">
        <f>SUM(W137-18539271.53)</f>
        <v>-12928883.350000001</v>
      </c>
    </row>
  </sheetData>
  <mergeCells count="147">
    <mergeCell ref="N124:N127"/>
    <mergeCell ref="O124:O127"/>
    <mergeCell ref="K119:M119"/>
    <mergeCell ref="O119:Q119"/>
    <mergeCell ref="U119:U127"/>
    <mergeCell ref="C120:D122"/>
    <mergeCell ref="E120:F122"/>
    <mergeCell ref="G120:H122"/>
    <mergeCell ref="I120:J122"/>
    <mergeCell ref="K120:M122"/>
    <mergeCell ref="N120:N122"/>
    <mergeCell ref="O120:Q122"/>
    <mergeCell ref="R120:R122"/>
    <mergeCell ref="S120:S122"/>
    <mergeCell ref="T120:T122"/>
    <mergeCell ref="C124:C127"/>
    <mergeCell ref="D124:D127"/>
    <mergeCell ref="E124:E127"/>
    <mergeCell ref="P124:P127"/>
    <mergeCell ref="Q124:Q127"/>
    <mergeCell ref="R124:R127"/>
    <mergeCell ref="S124:S127"/>
    <mergeCell ref="T124:T127"/>
    <mergeCell ref="K124:K127"/>
    <mergeCell ref="L124:L127"/>
    <mergeCell ref="M124:M127"/>
    <mergeCell ref="A119:B127"/>
    <mergeCell ref="C119:D119"/>
    <mergeCell ref="E119:F119"/>
    <mergeCell ref="G119:H119"/>
    <mergeCell ref="I119:J119"/>
    <mergeCell ref="F124:F127"/>
    <mergeCell ref="G124:G127"/>
    <mergeCell ref="H124:H127"/>
    <mergeCell ref="I124:I127"/>
    <mergeCell ref="J124:J127"/>
    <mergeCell ref="U80:U88"/>
    <mergeCell ref="C81:D83"/>
    <mergeCell ref="E81:F83"/>
    <mergeCell ref="G81:H83"/>
    <mergeCell ref="I81:J83"/>
    <mergeCell ref="K81:M83"/>
    <mergeCell ref="N81:N83"/>
    <mergeCell ref="O81:Q83"/>
    <mergeCell ref="R81:R83"/>
    <mergeCell ref="S81:S83"/>
    <mergeCell ref="T81:T83"/>
    <mergeCell ref="C85:C88"/>
    <mergeCell ref="D85:D88"/>
    <mergeCell ref="E85:E88"/>
    <mergeCell ref="P85:P88"/>
    <mergeCell ref="Q85:Q88"/>
    <mergeCell ref="R85:R88"/>
    <mergeCell ref="S85:S88"/>
    <mergeCell ref="T85:T88"/>
    <mergeCell ref="K85:K88"/>
    <mergeCell ref="L85:L88"/>
    <mergeCell ref="M85:M88"/>
    <mergeCell ref="N85:N88"/>
    <mergeCell ref="O85:O88"/>
    <mergeCell ref="N45:N48"/>
    <mergeCell ref="O45:O48"/>
    <mergeCell ref="A80:B88"/>
    <mergeCell ref="C80:D80"/>
    <mergeCell ref="E80:F80"/>
    <mergeCell ref="G80:H80"/>
    <mergeCell ref="I80:J80"/>
    <mergeCell ref="F85:F88"/>
    <mergeCell ref="G85:G88"/>
    <mergeCell ref="H85:H88"/>
    <mergeCell ref="I85:I88"/>
    <mergeCell ref="J85:J88"/>
    <mergeCell ref="K80:M80"/>
    <mergeCell ref="O80:Q80"/>
    <mergeCell ref="A40:B48"/>
    <mergeCell ref="C40:D40"/>
    <mergeCell ref="E40:F40"/>
    <mergeCell ref="G40:H40"/>
    <mergeCell ref="I40:J40"/>
    <mergeCell ref="F45:F48"/>
    <mergeCell ref="G45:G48"/>
    <mergeCell ref="H45:H48"/>
    <mergeCell ref="I45:I48"/>
    <mergeCell ref="J45:J48"/>
    <mergeCell ref="K40:M40"/>
    <mergeCell ref="O40:Q40"/>
    <mergeCell ref="U40:U48"/>
    <mergeCell ref="C41:D43"/>
    <mergeCell ref="E41:F43"/>
    <mergeCell ref="G41:H43"/>
    <mergeCell ref="I41:J43"/>
    <mergeCell ref="K41:M43"/>
    <mergeCell ref="N41:N43"/>
    <mergeCell ref="O41:Q43"/>
    <mergeCell ref="R41:R43"/>
    <mergeCell ref="S41:S43"/>
    <mergeCell ref="T41:T43"/>
    <mergeCell ref="C45:C48"/>
    <mergeCell ref="D45:D48"/>
    <mergeCell ref="E45:E48"/>
    <mergeCell ref="P45:P48"/>
    <mergeCell ref="Q45:Q48"/>
    <mergeCell ref="R45:R48"/>
    <mergeCell ref="S45:S48"/>
    <mergeCell ref="T45:T48"/>
    <mergeCell ref="K45:K48"/>
    <mergeCell ref="L45:L48"/>
    <mergeCell ref="M45:M48"/>
    <mergeCell ref="A1:U1"/>
    <mergeCell ref="A2:U2"/>
    <mergeCell ref="A3:U3"/>
    <mergeCell ref="A4:B12"/>
    <mergeCell ref="C4:D4"/>
    <mergeCell ref="E4:F4"/>
    <mergeCell ref="G4:H4"/>
    <mergeCell ref="I4:J4"/>
    <mergeCell ref="K4:M4"/>
    <mergeCell ref="O4:Q4"/>
    <mergeCell ref="U4:U12"/>
    <mergeCell ref="C5:D7"/>
    <mergeCell ref="E5:F7"/>
    <mergeCell ref="G5:H7"/>
    <mergeCell ref="I5:J7"/>
    <mergeCell ref="K5:M7"/>
    <mergeCell ref="N5:N7"/>
    <mergeCell ref="O5:Q7"/>
    <mergeCell ref="R5:R7"/>
    <mergeCell ref="S5:S7"/>
    <mergeCell ref="T5:T7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R9:R12"/>
    <mergeCell ref="S9:S12"/>
    <mergeCell ref="T9:T12"/>
    <mergeCell ref="L9:L12"/>
    <mergeCell ref="M9:M12"/>
    <mergeCell ref="N9:N12"/>
    <mergeCell ref="O9:O12"/>
    <mergeCell ref="P9:P12"/>
    <mergeCell ref="Q9:Q12"/>
  </mergeCells>
  <pageMargins left="0.2" right="0.19" top="0.17" bottom="0.16" header="0.17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topLeftCell="C1" zoomScale="150" zoomScaleNormal="150" workbookViewId="0">
      <selection activeCell="F14" sqref="F14"/>
    </sheetView>
  </sheetViews>
  <sheetFormatPr defaultRowHeight="20.100000000000001" customHeight="1"/>
  <cols>
    <col min="1" max="1" width="38.75" style="49" customWidth="1"/>
    <col min="2" max="2" width="9" style="49"/>
    <col min="3" max="3" width="15.125" style="137" customWidth="1"/>
    <col min="4" max="4" width="14.875" style="49" customWidth="1"/>
    <col min="5" max="5" width="13.875" style="49" customWidth="1"/>
    <col min="6" max="6" width="9.125" style="49" customWidth="1"/>
    <col min="7" max="7" width="10.375" style="49" hidden="1" customWidth="1"/>
    <col min="8" max="15" width="0" style="49" hidden="1" customWidth="1"/>
    <col min="16" max="16384" width="9" style="49"/>
  </cols>
  <sheetData>
    <row r="1" spans="1:7" ht="20.100000000000001" customHeight="1">
      <c r="A1" s="268" t="s">
        <v>258</v>
      </c>
      <c r="B1" s="268"/>
      <c r="C1" s="268"/>
      <c r="D1" s="268"/>
      <c r="E1" s="268"/>
    </row>
    <row r="2" spans="1:7" ht="20.100000000000001" customHeight="1">
      <c r="A2" s="268" t="s">
        <v>257</v>
      </c>
      <c r="B2" s="268"/>
      <c r="C2" s="268"/>
      <c r="D2" s="268"/>
      <c r="E2" s="268"/>
    </row>
    <row r="3" spans="1:7" ht="20.100000000000001" customHeight="1">
      <c r="A3" s="268" t="s">
        <v>219</v>
      </c>
      <c r="B3" s="268"/>
      <c r="C3" s="268"/>
      <c r="D3" s="268"/>
      <c r="E3" s="268"/>
    </row>
    <row r="4" spans="1:7" ht="20.100000000000001" customHeight="1">
      <c r="A4" s="268" t="s">
        <v>220</v>
      </c>
      <c r="B4" s="268"/>
      <c r="C4" s="268"/>
      <c r="D4" s="268"/>
      <c r="E4" s="268"/>
    </row>
    <row r="5" spans="1:7" ht="20.100000000000001" customHeight="1">
      <c r="A5" s="269" t="s">
        <v>399</v>
      </c>
      <c r="B5" s="269"/>
      <c r="C5" s="269"/>
      <c r="D5" s="269"/>
      <c r="E5" s="269"/>
    </row>
    <row r="6" spans="1:7" ht="20.100000000000001" customHeight="1">
      <c r="A6" s="90"/>
      <c r="B6" s="91" t="s">
        <v>2</v>
      </c>
      <c r="C6" s="149" t="s">
        <v>52</v>
      </c>
      <c r="D6" s="93" t="s">
        <v>221</v>
      </c>
      <c r="E6" s="92" t="s">
        <v>222</v>
      </c>
    </row>
    <row r="7" spans="1:7" ht="20.100000000000001" customHeight="1">
      <c r="A7" s="94" t="s">
        <v>268</v>
      </c>
      <c r="B7" s="95"/>
      <c r="C7" s="150"/>
      <c r="D7" s="96"/>
      <c r="E7" s="97"/>
    </row>
    <row r="8" spans="1:7" ht="20.100000000000001" customHeight="1">
      <c r="A8" s="98" t="s">
        <v>223</v>
      </c>
      <c r="B8" s="99" t="s">
        <v>289</v>
      </c>
      <c r="C8" s="150"/>
      <c r="D8" s="96"/>
      <c r="E8" s="97"/>
    </row>
    <row r="9" spans="1:7" ht="20.100000000000001" customHeight="1">
      <c r="A9" s="100" t="s">
        <v>224</v>
      </c>
      <c r="B9" s="99" t="s">
        <v>301</v>
      </c>
      <c r="C9" s="151">
        <v>269000</v>
      </c>
      <c r="D9" s="101"/>
      <c r="E9" s="102"/>
      <c r="G9" s="63">
        <f>SUM(C9-D9)</f>
        <v>269000</v>
      </c>
    </row>
    <row r="10" spans="1:7" ht="20.100000000000001" customHeight="1">
      <c r="A10" s="100" t="s">
        <v>225</v>
      </c>
      <c r="B10" s="99" t="s">
        <v>302</v>
      </c>
      <c r="C10" s="151">
        <v>42000</v>
      </c>
      <c r="D10" s="101"/>
      <c r="E10" s="102"/>
      <c r="G10" s="63">
        <f>SUM(C10-D10)</f>
        <v>42000</v>
      </c>
    </row>
    <row r="11" spans="1:7" ht="20.100000000000001" customHeight="1">
      <c r="A11" s="100" t="s">
        <v>226</v>
      </c>
      <c r="B11" s="103" t="s">
        <v>303</v>
      </c>
      <c r="C11" s="152">
        <v>26000</v>
      </c>
      <c r="D11" s="101"/>
      <c r="E11" s="102"/>
      <c r="G11" s="63">
        <f>SUM(C11-D11)</f>
        <v>26000</v>
      </c>
    </row>
    <row r="12" spans="1:7" ht="20.100000000000001" customHeight="1">
      <c r="A12" s="100" t="s">
        <v>277</v>
      </c>
      <c r="B12" s="141" t="s">
        <v>304</v>
      </c>
      <c r="C12" s="153"/>
      <c r="D12" s="115"/>
      <c r="E12" s="102"/>
      <c r="G12" s="63"/>
    </row>
    <row r="13" spans="1:7" ht="20.100000000000001" customHeight="1">
      <c r="A13" s="100" t="s">
        <v>278</v>
      </c>
      <c r="B13" s="141" t="s">
        <v>305</v>
      </c>
      <c r="C13" s="153"/>
      <c r="D13" s="115"/>
      <c r="E13" s="102"/>
      <c r="G13" s="63"/>
    </row>
    <row r="14" spans="1:7" ht="20.100000000000001" customHeight="1">
      <c r="A14" s="100" t="s">
        <v>335</v>
      </c>
      <c r="B14" s="141" t="s">
        <v>306</v>
      </c>
      <c r="C14" s="153"/>
      <c r="D14" s="115"/>
      <c r="E14" s="102"/>
      <c r="G14" s="63"/>
    </row>
    <row r="15" spans="1:7" ht="20.100000000000001" customHeight="1">
      <c r="A15" s="104" t="s">
        <v>44</v>
      </c>
      <c r="B15" s="105"/>
      <c r="C15" s="154">
        <f>SUM(C9:C11)</f>
        <v>337000</v>
      </c>
      <c r="D15" s="167">
        <f>SUM(D9:D14)</f>
        <v>0</v>
      </c>
      <c r="E15" s="106">
        <f>SUM(E9:E14)</f>
        <v>0</v>
      </c>
    </row>
    <row r="16" spans="1:7" ht="20.100000000000001" customHeight="1">
      <c r="A16" s="98" t="s">
        <v>227</v>
      </c>
      <c r="B16" s="105">
        <v>412000</v>
      </c>
      <c r="C16" s="155"/>
      <c r="D16" s="101"/>
      <c r="E16" s="102"/>
    </row>
    <row r="17" spans="1:7" ht="20.100000000000001" customHeight="1">
      <c r="A17" s="100" t="s">
        <v>228</v>
      </c>
      <c r="B17" s="105">
        <v>412104</v>
      </c>
      <c r="C17" s="152"/>
      <c r="D17" s="101"/>
      <c r="E17" s="102"/>
      <c r="G17" s="107">
        <f>SUM(C17-D17)</f>
        <v>0</v>
      </c>
    </row>
    <row r="18" spans="1:7" ht="20.100000000000001" customHeight="1">
      <c r="A18" s="100" t="s">
        <v>229</v>
      </c>
      <c r="B18" s="99" t="s">
        <v>307</v>
      </c>
      <c r="C18" s="151">
        <v>64000</v>
      </c>
      <c r="D18" s="101">
        <f>15280</f>
        <v>15280</v>
      </c>
      <c r="E18" s="102"/>
      <c r="G18" s="107">
        <f t="shared" ref="G18:G29" si="0">SUM(C18-D18)</f>
        <v>48720</v>
      </c>
    </row>
    <row r="19" spans="1:7" ht="20.100000000000001" customHeight="1">
      <c r="A19" s="100" t="s">
        <v>369</v>
      </c>
      <c r="B19" s="99" t="s">
        <v>308</v>
      </c>
      <c r="C19" s="151">
        <v>1000</v>
      </c>
      <c r="D19" s="101">
        <f>100</f>
        <v>100</v>
      </c>
      <c r="E19" s="102"/>
      <c r="G19" s="107">
        <f t="shared" si="0"/>
        <v>900</v>
      </c>
    </row>
    <row r="20" spans="1:7" ht="20.100000000000001" customHeight="1">
      <c r="A20" s="100" t="s">
        <v>230</v>
      </c>
      <c r="B20" s="99" t="s">
        <v>309</v>
      </c>
      <c r="C20" s="151"/>
      <c r="D20" s="101">
        <f>4684+94</f>
        <v>4778</v>
      </c>
      <c r="E20" s="102">
        <v>94</v>
      </c>
      <c r="G20" s="107">
        <f t="shared" si="0"/>
        <v>-4778</v>
      </c>
    </row>
    <row r="21" spans="1:7" ht="20.100000000000001" customHeight="1">
      <c r="A21" s="100" t="s">
        <v>336</v>
      </c>
      <c r="B21" s="95">
        <v>412109</v>
      </c>
      <c r="C21" s="151"/>
      <c r="D21" s="101">
        <v>340</v>
      </c>
      <c r="E21" s="108"/>
      <c r="G21" s="107">
        <f t="shared" si="0"/>
        <v>-340</v>
      </c>
    </row>
    <row r="22" spans="1:7" ht="20.100000000000001" customHeight="1">
      <c r="A22" s="100" t="s">
        <v>231</v>
      </c>
      <c r="B22" s="99" t="s">
        <v>310</v>
      </c>
      <c r="C22" s="151">
        <v>700</v>
      </c>
      <c r="D22" s="101"/>
      <c r="E22" s="108"/>
      <c r="G22" s="107">
        <f t="shared" si="0"/>
        <v>700</v>
      </c>
    </row>
    <row r="23" spans="1:7" ht="20.100000000000001" customHeight="1">
      <c r="A23" s="100" t="s">
        <v>279</v>
      </c>
      <c r="B23" s="109">
        <v>412205</v>
      </c>
      <c r="C23" s="156"/>
      <c r="D23" s="101">
        <f>83+40.75+30.75</f>
        <v>154.5</v>
      </c>
      <c r="E23" s="108">
        <v>30.75</v>
      </c>
      <c r="G23" s="107">
        <f t="shared" si="0"/>
        <v>-154.5</v>
      </c>
    </row>
    <row r="24" spans="1:7" ht="20.100000000000001" customHeight="1">
      <c r="A24" s="100" t="s">
        <v>280</v>
      </c>
      <c r="B24" s="100">
        <v>412304</v>
      </c>
      <c r="C24" s="156"/>
      <c r="D24" s="101"/>
      <c r="E24" s="108"/>
      <c r="G24" s="107">
        <f t="shared" si="0"/>
        <v>0</v>
      </c>
    </row>
    <row r="25" spans="1:7" ht="20.100000000000001" customHeight="1">
      <c r="A25" s="100" t="s">
        <v>281</v>
      </c>
      <c r="B25" s="109"/>
      <c r="C25" s="151"/>
      <c r="D25" s="101"/>
      <c r="E25" s="102"/>
      <c r="G25" s="107">
        <f t="shared" si="0"/>
        <v>0</v>
      </c>
    </row>
    <row r="26" spans="1:7" ht="20.100000000000001" customHeight="1">
      <c r="A26" s="100" t="s">
        <v>282</v>
      </c>
      <c r="B26" s="99" t="s">
        <v>311</v>
      </c>
      <c r="C26" s="151"/>
      <c r="D26" s="101">
        <f>20+20</f>
        <v>40</v>
      </c>
      <c r="E26" s="102">
        <v>20</v>
      </c>
      <c r="G26" s="107">
        <f t="shared" si="0"/>
        <v>-40</v>
      </c>
    </row>
    <row r="27" spans="1:7" ht="20.100000000000001" customHeight="1">
      <c r="A27" s="100" t="s">
        <v>283</v>
      </c>
      <c r="B27" s="109">
        <v>412308</v>
      </c>
      <c r="C27" s="151"/>
      <c r="D27" s="101"/>
      <c r="E27" s="102"/>
      <c r="G27" s="107">
        <f t="shared" si="0"/>
        <v>0</v>
      </c>
    </row>
    <row r="28" spans="1:7" ht="20.100000000000001" customHeight="1">
      <c r="A28" s="100" t="s">
        <v>395</v>
      </c>
      <c r="B28" s="109">
        <v>412210</v>
      </c>
      <c r="C28" s="151">
        <v>8300</v>
      </c>
      <c r="D28" s="101">
        <f>8148</f>
        <v>8148</v>
      </c>
      <c r="E28" s="102"/>
      <c r="G28" s="107"/>
    </row>
    <row r="29" spans="1:7" ht="20.100000000000001" customHeight="1">
      <c r="A29" s="100" t="s">
        <v>394</v>
      </c>
      <c r="B29" s="103" t="s">
        <v>312</v>
      </c>
      <c r="C29" s="156">
        <v>62000</v>
      </c>
      <c r="D29" s="101"/>
      <c r="E29" s="102"/>
      <c r="G29" s="107">
        <f t="shared" si="0"/>
        <v>62000</v>
      </c>
    </row>
    <row r="30" spans="1:7" ht="20.100000000000001" customHeight="1">
      <c r="A30" s="104" t="s">
        <v>44</v>
      </c>
      <c r="B30" s="99"/>
      <c r="C30" s="157">
        <f>SUM(C17:C29)</f>
        <v>136000</v>
      </c>
      <c r="D30" s="165">
        <f>SUM(D16:D29)</f>
        <v>28840.5</v>
      </c>
      <c r="E30" s="106">
        <f>SUM(E17:E29)</f>
        <v>144.75</v>
      </c>
    </row>
    <row r="31" spans="1:7" ht="20.100000000000001" customHeight="1">
      <c r="A31" s="98" t="s">
        <v>232</v>
      </c>
      <c r="B31" s="109">
        <v>413000</v>
      </c>
      <c r="C31" s="150"/>
      <c r="D31" s="96"/>
      <c r="E31" s="97"/>
    </row>
    <row r="32" spans="1:7" ht="20.100000000000001" customHeight="1">
      <c r="A32" s="100" t="s">
        <v>233</v>
      </c>
      <c r="B32" s="109">
        <v>413003</v>
      </c>
      <c r="C32" s="151">
        <v>122000</v>
      </c>
      <c r="D32" s="110"/>
      <c r="E32" s="111"/>
      <c r="G32" s="63">
        <f>SUM(C32-D32)</f>
        <v>122000</v>
      </c>
    </row>
    <row r="33" spans="1:7" ht="20.100000000000001" customHeight="1">
      <c r="A33" s="100" t="s">
        <v>334</v>
      </c>
      <c r="B33" s="99" t="s">
        <v>313</v>
      </c>
      <c r="C33" s="151">
        <v>40000</v>
      </c>
      <c r="D33" s="101"/>
      <c r="E33" s="102"/>
      <c r="G33" s="63">
        <f>SUM(C33-D33)</f>
        <v>40000</v>
      </c>
    </row>
    <row r="34" spans="1:7" ht="20.100000000000001" customHeight="1">
      <c r="A34" s="104" t="s">
        <v>44</v>
      </c>
      <c r="B34" s="100"/>
      <c r="C34" s="154">
        <f>SUM(C32:C33)</f>
        <v>162000</v>
      </c>
      <c r="D34" s="167">
        <f>SUM(D32:D33)</f>
        <v>0</v>
      </c>
      <c r="E34" s="106">
        <f>SUM(E32)</f>
        <v>0</v>
      </c>
    </row>
    <row r="35" spans="1:7" ht="20.100000000000001" customHeight="1">
      <c r="A35" s="98" t="s">
        <v>234</v>
      </c>
      <c r="B35" s="109">
        <v>414000</v>
      </c>
      <c r="C35" s="158"/>
      <c r="D35" s="112"/>
      <c r="E35" s="113"/>
    </row>
    <row r="36" spans="1:7" ht="20.100000000000001" customHeight="1">
      <c r="A36" s="114" t="s">
        <v>235</v>
      </c>
      <c r="B36" s="109">
        <v>414999</v>
      </c>
      <c r="C36" s="153">
        <v>348000</v>
      </c>
      <c r="D36" s="115">
        <f>33980+36218+28464</f>
        <v>98662</v>
      </c>
      <c r="E36" s="102">
        <v>28464</v>
      </c>
      <c r="G36" s="63">
        <f>SUM(C36-D36)</f>
        <v>249338</v>
      </c>
    </row>
    <row r="37" spans="1:7" ht="20.100000000000001" customHeight="1">
      <c r="A37" s="104" t="s">
        <v>44</v>
      </c>
      <c r="B37" s="116"/>
      <c r="C37" s="159">
        <f>SUM(C36)</f>
        <v>348000</v>
      </c>
      <c r="D37" s="166">
        <f>SUM(D35:D36)</f>
        <v>98662</v>
      </c>
      <c r="E37" s="113">
        <f>SUM(E35:E36)</f>
        <v>28464</v>
      </c>
    </row>
    <row r="38" spans="1:7" ht="20.100000000000001" customHeight="1">
      <c r="A38" s="117"/>
      <c r="B38" s="118"/>
      <c r="C38" s="160"/>
      <c r="D38" s="119"/>
      <c r="E38" s="120"/>
    </row>
    <row r="39" spans="1:7" ht="19.5" customHeight="1">
      <c r="A39" s="139"/>
      <c r="B39" s="109"/>
      <c r="C39" s="161"/>
      <c r="D39" s="101"/>
      <c r="E39" s="121"/>
    </row>
    <row r="40" spans="1:7" ht="18" customHeight="1">
      <c r="A40" s="92" t="s">
        <v>46</v>
      </c>
      <c r="B40" s="91" t="s">
        <v>2</v>
      </c>
      <c r="C40" s="149" t="s">
        <v>52</v>
      </c>
      <c r="D40" s="93" t="s">
        <v>221</v>
      </c>
      <c r="E40" s="92" t="s">
        <v>222</v>
      </c>
    </row>
    <row r="41" spans="1:7" ht="18" customHeight="1">
      <c r="A41" s="98" t="s">
        <v>236</v>
      </c>
      <c r="B41" s="109">
        <v>415000</v>
      </c>
      <c r="C41" s="150"/>
      <c r="D41" s="101"/>
      <c r="E41" s="105" t="s">
        <v>37</v>
      </c>
    </row>
    <row r="42" spans="1:7" ht="18" customHeight="1">
      <c r="A42" s="100" t="s">
        <v>370</v>
      </c>
      <c r="B42" s="99" t="s">
        <v>314</v>
      </c>
      <c r="C42" s="151">
        <v>28000</v>
      </c>
      <c r="D42" s="101">
        <f>1000</f>
        <v>1000</v>
      </c>
      <c r="E42" s="111"/>
      <c r="G42" s="63">
        <f>SUM(C42-D42)</f>
        <v>27000</v>
      </c>
    </row>
    <row r="43" spans="1:7" ht="18" customHeight="1">
      <c r="A43" s="100" t="s">
        <v>237</v>
      </c>
      <c r="B43" s="99" t="s">
        <v>315</v>
      </c>
      <c r="C43" s="151">
        <v>57000</v>
      </c>
      <c r="D43" s="101">
        <f>1004</f>
        <v>1004</v>
      </c>
      <c r="E43" s="111">
        <v>1004</v>
      </c>
      <c r="G43" s="63">
        <f t="shared" ref="G43:G46" si="1">SUM(C43-D43)</f>
        <v>55996</v>
      </c>
    </row>
    <row r="44" spans="1:7" ht="18" customHeight="1">
      <c r="A44" s="100" t="s">
        <v>238</v>
      </c>
      <c r="B44" s="99" t="s">
        <v>316</v>
      </c>
      <c r="C44" s="151">
        <v>500</v>
      </c>
      <c r="D44" s="101"/>
      <c r="E44" s="111"/>
      <c r="G44" s="63">
        <f t="shared" si="1"/>
        <v>500</v>
      </c>
    </row>
    <row r="45" spans="1:7" ht="18" customHeight="1">
      <c r="A45" s="100" t="s">
        <v>367</v>
      </c>
      <c r="B45" s="99" t="s">
        <v>314</v>
      </c>
      <c r="C45" s="151"/>
      <c r="D45" s="101">
        <f>1582+1582+1582</f>
        <v>4746</v>
      </c>
      <c r="E45" s="111">
        <v>1582</v>
      </c>
      <c r="G45" s="63">
        <f t="shared" si="1"/>
        <v>-4746</v>
      </c>
    </row>
    <row r="46" spans="1:7" ht="18" customHeight="1">
      <c r="A46" s="100" t="s">
        <v>337</v>
      </c>
      <c r="B46" s="99" t="s">
        <v>338</v>
      </c>
      <c r="C46" s="151"/>
      <c r="D46" s="101">
        <f>4550+350</f>
        <v>4900</v>
      </c>
      <c r="E46" s="111">
        <v>350</v>
      </c>
      <c r="G46" s="63">
        <f t="shared" si="1"/>
        <v>-4900</v>
      </c>
    </row>
    <row r="47" spans="1:7" ht="18" customHeight="1">
      <c r="A47" s="104" t="s">
        <v>44</v>
      </c>
      <c r="B47" s="100"/>
      <c r="C47" s="154">
        <f>SUM(C42:C44)</f>
        <v>85500</v>
      </c>
      <c r="D47" s="167">
        <f>SUM(D42:D46)</f>
        <v>11650</v>
      </c>
      <c r="E47" s="106">
        <f>SUM(E42:E46)</f>
        <v>2936</v>
      </c>
    </row>
    <row r="48" spans="1:7" ht="18" customHeight="1">
      <c r="A48" s="122" t="s">
        <v>239</v>
      </c>
      <c r="B48" s="109"/>
      <c r="C48" s="150"/>
      <c r="D48" s="106">
        <f>SUM(D15+D30+D34+D37+D47)</f>
        <v>139152.5</v>
      </c>
      <c r="E48" s="106">
        <f>SUM(E15+E30+E34+E36+E47)</f>
        <v>31544.75</v>
      </c>
    </row>
    <row r="49" spans="1:7" ht="18" customHeight="1">
      <c r="A49" s="123" t="s">
        <v>240</v>
      </c>
      <c r="B49" s="109">
        <v>420000</v>
      </c>
      <c r="C49" s="151"/>
      <c r="D49" s="110"/>
      <c r="E49" s="100"/>
    </row>
    <row r="50" spans="1:7" ht="18" customHeight="1">
      <c r="A50" s="98" t="s">
        <v>284</v>
      </c>
      <c r="B50" s="109"/>
      <c r="C50" s="162"/>
      <c r="D50" s="115"/>
      <c r="E50" s="116"/>
    </row>
    <row r="51" spans="1:7" ht="18" customHeight="1">
      <c r="A51" s="114" t="s">
        <v>241</v>
      </c>
      <c r="B51" s="109">
        <v>421001</v>
      </c>
      <c r="C51" s="163"/>
      <c r="D51" s="115"/>
      <c r="E51" s="124"/>
      <c r="G51" s="107"/>
    </row>
    <row r="52" spans="1:7" ht="18" customHeight="1">
      <c r="A52" s="100" t="s">
        <v>242</v>
      </c>
      <c r="B52" s="95">
        <v>421002</v>
      </c>
      <c r="C52" s="153">
        <v>7935000</v>
      </c>
      <c r="D52" s="115">
        <f>591524.75+623569.73</f>
        <v>1215094.48</v>
      </c>
      <c r="E52" s="124"/>
      <c r="G52" s="107"/>
    </row>
    <row r="53" spans="1:7" ht="18" customHeight="1">
      <c r="A53" s="100" t="s">
        <v>243</v>
      </c>
      <c r="B53" s="95">
        <v>421004</v>
      </c>
      <c r="C53" s="153">
        <v>1678000</v>
      </c>
      <c r="D53" s="115">
        <f>154502.76+152274.14+128229.04</f>
        <v>435005.94</v>
      </c>
      <c r="E53" s="125">
        <v>128229.04</v>
      </c>
      <c r="G53" s="107"/>
    </row>
    <row r="54" spans="1:7" ht="18" customHeight="1">
      <c r="A54" s="100" t="s">
        <v>244</v>
      </c>
      <c r="B54" s="95">
        <v>421005</v>
      </c>
      <c r="C54" s="153">
        <v>70000</v>
      </c>
      <c r="D54" s="115">
        <f>18632.13</f>
        <v>18632.13</v>
      </c>
      <c r="E54" s="124"/>
      <c r="G54" s="107"/>
    </row>
    <row r="55" spans="1:7" ht="18" customHeight="1">
      <c r="A55" s="100" t="s">
        <v>245</v>
      </c>
      <c r="B55" s="95">
        <v>421006</v>
      </c>
      <c r="C55" s="153">
        <v>734000</v>
      </c>
      <c r="D55" s="115">
        <f>61852.55+130764.84+62330.37</f>
        <v>254947.76</v>
      </c>
      <c r="E55" s="125">
        <v>62330.37</v>
      </c>
      <c r="G55" s="107"/>
    </row>
    <row r="56" spans="1:7" ht="18" customHeight="1">
      <c r="A56" s="100" t="s">
        <v>246</v>
      </c>
      <c r="B56" s="95">
        <v>421007</v>
      </c>
      <c r="C56" s="153">
        <v>1606000</v>
      </c>
      <c r="D56" s="115">
        <f>91648.36+202452.65+74477.58</f>
        <v>368578.59</v>
      </c>
      <c r="E56" s="125">
        <v>74477.58</v>
      </c>
      <c r="G56" s="107"/>
    </row>
    <row r="57" spans="1:7" ht="18" customHeight="1">
      <c r="A57" s="100" t="s">
        <v>247</v>
      </c>
      <c r="B57" s="95">
        <v>421008</v>
      </c>
      <c r="C57" s="163"/>
      <c r="D57" s="115"/>
      <c r="E57" s="126"/>
      <c r="G57" s="107"/>
    </row>
    <row r="58" spans="1:7" ht="18" customHeight="1">
      <c r="A58" s="100" t="s">
        <v>248</v>
      </c>
      <c r="B58" s="95">
        <v>421012</v>
      </c>
      <c r="C58" s="153">
        <v>14000</v>
      </c>
      <c r="D58" s="115"/>
      <c r="E58" s="126"/>
      <c r="G58" s="107"/>
    </row>
    <row r="59" spans="1:7" ht="18" customHeight="1">
      <c r="A59" s="100" t="s">
        <v>249</v>
      </c>
      <c r="B59" s="95">
        <v>421013</v>
      </c>
      <c r="C59" s="153">
        <v>117000</v>
      </c>
      <c r="D59" s="115">
        <f>14702.44</f>
        <v>14702.44</v>
      </c>
      <c r="E59" s="126"/>
      <c r="G59" s="107"/>
    </row>
    <row r="60" spans="1:7" ht="18" customHeight="1">
      <c r="A60" s="100" t="s">
        <v>250</v>
      </c>
      <c r="B60" s="95">
        <v>421014</v>
      </c>
      <c r="C60" s="153">
        <v>500</v>
      </c>
      <c r="D60" s="115"/>
      <c r="E60" s="126"/>
      <c r="G60" s="107"/>
    </row>
    <row r="61" spans="1:7" ht="18" customHeight="1">
      <c r="A61" s="100" t="s">
        <v>251</v>
      </c>
      <c r="B61" s="95">
        <v>421015</v>
      </c>
      <c r="C61" s="151">
        <v>476000</v>
      </c>
      <c r="D61" s="101">
        <f>42648+35683+93674</f>
        <v>172005</v>
      </c>
      <c r="E61" s="108">
        <v>93674</v>
      </c>
      <c r="G61" s="107"/>
    </row>
    <row r="62" spans="1:7" ht="18" customHeight="1">
      <c r="A62" s="100" t="s">
        <v>368</v>
      </c>
      <c r="B62" s="95">
        <v>421999</v>
      </c>
      <c r="C62" s="164">
        <v>1000</v>
      </c>
      <c r="D62" s="115">
        <f>77.6</f>
        <v>77.599999999999994</v>
      </c>
      <c r="E62" s="127">
        <v>77.599999999999994</v>
      </c>
      <c r="G62" s="107"/>
    </row>
    <row r="63" spans="1:7" ht="18" customHeight="1">
      <c r="A63" s="104" t="s">
        <v>44</v>
      </c>
      <c r="B63" s="100"/>
      <c r="C63" s="154">
        <f>SUM(C51:C62)</f>
        <v>12631500</v>
      </c>
      <c r="D63" s="165">
        <f>SUM(D51:D62)</f>
        <v>2479043.94</v>
      </c>
      <c r="E63" s="106">
        <f>SUM(E51:E62)</f>
        <v>358788.58999999997</v>
      </c>
      <c r="G63" s="51"/>
    </row>
    <row r="64" spans="1:7" ht="18" customHeight="1">
      <c r="A64" s="122" t="s">
        <v>252</v>
      </c>
      <c r="B64" s="109"/>
      <c r="C64" s="150"/>
      <c r="D64" s="106">
        <f>SUM(D48+D63)</f>
        <v>2618196.44</v>
      </c>
      <c r="E64" s="106">
        <f>SUM(E48+E63)</f>
        <v>390333.33999999997</v>
      </c>
    </row>
    <row r="65" spans="1:5" ht="18" customHeight="1">
      <c r="A65" s="123" t="s">
        <v>253</v>
      </c>
      <c r="B65" s="109">
        <v>430000</v>
      </c>
      <c r="C65" s="151"/>
      <c r="D65" s="110"/>
      <c r="E65" s="100"/>
    </row>
    <row r="66" spans="1:5" ht="18" customHeight="1">
      <c r="A66" s="123" t="s">
        <v>254</v>
      </c>
      <c r="B66" s="109"/>
      <c r="C66" s="151"/>
      <c r="D66" s="110"/>
      <c r="E66" s="100"/>
    </row>
    <row r="67" spans="1:5" ht="18" customHeight="1">
      <c r="A67" s="98" t="s">
        <v>396</v>
      </c>
      <c r="B67" s="109">
        <v>431000</v>
      </c>
      <c r="C67" s="150"/>
      <c r="D67" s="110"/>
      <c r="E67" s="100"/>
    </row>
    <row r="68" spans="1:5" ht="18" customHeight="1">
      <c r="A68" s="100" t="s">
        <v>398</v>
      </c>
      <c r="B68" s="109">
        <v>431001</v>
      </c>
      <c r="C68" s="150">
        <v>7750000</v>
      </c>
      <c r="D68" s="110">
        <f>885580+2141981</f>
        <v>3027561</v>
      </c>
      <c r="E68" s="151">
        <v>2141981</v>
      </c>
    </row>
    <row r="69" spans="1:5" ht="18" customHeight="1" thickBot="1">
      <c r="A69" s="122" t="s">
        <v>397</v>
      </c>
      <c r="B69" s="109"/>
      <c r="C69" s="150"/>
      <c r="D69" s="244">
        <f>SUM(D68:D68)</f>
        <v>3027561</v>
      </c>
      <c r="E69" s="245">
        <f>SUM(E68:E68)</f>
        <v>2141981</v>
      </c>
    </row>
    <row r="70" spans="1:5" ht="18" customHeight="1">
      <c r="A70" s="128" t="s">
        <v>255</v>
      </c>
      <c r="B70" s="109"/>
      <c r="C70" s="150"/>
      <c r="D70" s="243">
        <f>SUM(D64+D69)</f>
        <v>5645757.4399999995</v>
      </c>
      <c r="E70" s="243">
        <f>SUM(E64+E69)</f>
        <v>2532314.34</v>
      </c>
    </row>
    <row r="71" spans="1:5" ht="18" customHeight="1">
      <c r="A71" s="98" t="s">
        <v>371</v>
      </c>
      <c r="B71" s="109">
        <v>431004</v>
      </c>
      <c r="C71" s="150"/>
      <c r="D71" s="101"/>
      <c r="E71" s="111"/>
    </row>
    <row r="72" spans="1:5" ht="18" customHeight="1">
      <c r="A72" s="100" t="s">
        <v>372</v>
      </c>
      <c r="B72" s="109">
        <v>431004</v>
      </c>
      <c r="C72" s="150"/>
      <c r="D72" s="101"/>
      <c r="E72" s="111"/>
    </row>
    <row r="73" spans="1:5" ht="18" customHeight="1">
      <c r="A73" s="100" t="s">
        <v>373</v>
      </c>
      <c r="B73" s="109">
        <v>431004</v>
      </c>
      <c r="C73" s="151" t="s">
        <v>16</v>
      </c>
      <c r="D73" s="110"/>
      <c r="E73" s="97"/>
    </row>
    <row r="74" spans="1:5" ht="18" customHeight="1">
      <c r="A74" s="100" t="s">
        <v>374</v>
      </c>
      <c r="B74" s="109">
        <v>431004</v>
      </c>
      <c r="C74" s="151"/>
      <c r="D74" s="110">
        <f>1278000+422800</f>
        <v>1700800</v>
      </c>
      <c r="E74" s="102">
        <v>422800</v>
      </c>
    </row>
    <row r="75" spans="1:5" ht="18" customHeight="1">
      <c r="A75" s="100" t="s">
        <v>375</v>
      </c>
      <c r="B75" s="109">
        <v>431004</v>
      </c>
      <c r="C75" s="151"/>
      <c r="D75" s="110">
        <f>142500+159900</f>
        <v>302400</v>
      </c>
      <c r="E75" s="102">
        <v>159900</v>
      </c>
    </row>
    <row r="76" spans="1:5" ht="18" customHeight="1">
      <c r="A76" s="100" t="s">
        <v>376</v>
      </c>
      <c r="B76" s="109">
        <v>431004</v>
      </c>
      <c r="C76" s="151"/>
      <c r="D76" s="110">
        <f>279900</f>
        <v>279900</v>
      </c>
      <c r="E76" s="102"/>
    </row>
    <row r="77" spans="1:5" ht="18" customHeight="1">
      <c r="A77" s="100" t="s">
        <v>377</v>
      </c>
      <c r="B77" s="109">
        <v>431004</v>
      </c>
      <c r="C77" s="151"/>
      <c r="D77" s="110">
        <f>178605</f>
        <v>178605</v>
      </c>
      <c r="E77" s="102"/>
    </row>
    <row r="78" spans="1:5" ht="18" customHeight="1">
      <c r="A78" s="100" t="s">
        <v>386</v>
      </c>
      <c r="B78" s="109">
        <v>431004</v>
      </c>
      <c r="C78" s="151"/>
      <c r="D78" s="110">
        <f>194650</f>
        <v>194650</v>
      </c>
      <c r="E78" s="102"/>
    </row>
    <row r="79" spans="1:5" ht="18" customHeight="1">
      <c r="A79" s="100" t="s">
        <v>403</v>
      </c>
      <c r="B79" s="109">
        <v>431004</v>
      </c>
      <c r="C79" s="153"/>
      <c r="D79" s="151">
        <v>1037219</v>
      </c>
      <c r="E79" s="125"/>
    </row>
    <row r="80" spans="1:5" ht="18" customHeight="1">
      <c r="A80" s="100" t="s">
        <v>408</v>
      </c>
      <c r="B80" s="109">
        <v>431004</v>
      </c>
      <c r="C80" s="153"/>
      <c r="D80" s="164">
        <f>150000</f>
        <v>150000</v>
      </c>
      <c r="E80" s="125">
        <v>150000</v>
      </c>
    </row>
    <row r="81" spans="1:7" ht="18" customHeight="1">
      <c r="A81" s="104" t="s">
        <v>44</v>
      </c>
      <c r="B81" s="100"/>
      <c r="C81" s="154">
        <f>SUM(C67)</f>
        <v>0</v>
      </c>
      <c r="D81" s="246">
        <f>SUM(D74:D80)</f>
        <v>3843574</v>
      </c>
      <c r="E81" s="106">
        <f>SUM(E74:E80)</f>
        <v>732700</v>
      </c>
    </row>
    <row r="82" spans="1:7" ht="18" customHeight="1">
      <c r="A82" s="129" t="s">
        <v>256</v>
      </c>
      <c r="B82" s="130"/>
      <c r="C82" s="154">
        <f>SUM(C15+C30+C34+C37+C47+C63+C81)</f>
        <v>13700000</v>
      </c>
      <c r="D82" s="106">
        <f>SUM(D70+D81)</f>
        <v>9489331.4399999995</v>
      </c>
      <c r="E82" s="106">
        <f>SUM(E70+E81)</f>
        <v>3265014.34</v>
      </c>
      <c r="G82" s="51"/>
    </row>
    <row r="83" spans="1:7" ht="18" customHeight="1">
      <c r="A83" s="131"/>
      <c r="B83" s="132"/>
      <c r="C83" s="161"/>
      <c r="D83" s="121"/>
      <c r="E83" s="121"/>
    </row>
    <row r="84" spans="1:7" ht="18" customHeight="1">
      <c r="A84" s="131"/>
      <c r="B84" s="132"/>
      <c r="C84" s="161"/>
      <c r="D84" s="121"/>
      <c r="E84" s="121"/>
    </row>
    <row r="85" spans="1:7" ht="20.100000000000001" customHeight="1">
      <c r="D85" s="63"/>
      <c r="E85" s="51"/>
    </row>
  </sheetData>
  <mergeCells count="5">
    <mergeCell ref="A1:E1"/>
    <mergeCell ref="A2:E2"/>
    <mergeCell ref="A3:E3"/>
    <mergeCell ref="A4:E4"/>
    <mergeCell ref="A5:E5"/>
  </mergeCells>
  <pageMargins left="0.27" right="0.26" top="0.38" bottom="0.3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N57" sqref="N57"/>
    </sheetView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J26" sqref="J26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งบทดลอง</vt:lpstr>
      <vt:lpstr>รายงานรับ-จ่าย</vt:lpstr>
      <vt:lpstr>กระดาษทำการกระทบยอดเงินสะสม</vt:lpstr>
      <vt:lpstr>กระดาษทำการกระทบยอดเงินรายรับ</vt:lpstr>
      <vt:lpstr>หมายเหตุ 1 รายรับ</vt:lpstr>
      <vt:lpstr>Sheet1</vt:lpstr>
      <vt:lpstr>Sheet2</vt:lpstr>
    </vt:vector>
  </TitlesOfParts>
  <Company>TTT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</dc:creator>
  <cp:lastModifiedBy>KKD Windows 7 V.3</cp:lastModifiedBy>
  <cp:lastPrinted>2015-01-14T03:39:22Z</cp:lastPrinted>
  <dcterms:created xsi:type="dcterms:W3CDTF">2013-06-07T04:08:05Z</dcterms:created>
  <dcterms:modified xsi:type="dcterms:W3CDTF">2015-01-27T04:08:23Z</dcterms:modified>
</cp:coreProperties>
</file>