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5640" tabRatio="948" firstSheet="4" activeTab="18"/>
  </bookViews>
  <sheets>
    <sheet name="งบทดลองหลังปิดบัญชี" sheetId="1" r:id="rId1"/>
    <sheet name="หมายเหตุ 1รับจ่ายจริง" sheetId="2" r:id="rId2"/>
    <sheet name="งบรายรับ-รายจ่าย(60)" sheetId="3" r:id="rId3"/>
    <sheet name="งบแสดงฐานะการเงิน(สท,นส)" sheetId="4" r:id="rId4"/>
    <sheet name="หมายเหตุงบทรัพย์สิน60" sheetId="5" r:id="rId5"/>
    <sheet name="งบทรัพย์สิน(หมายเหตุ2)" sheetId="6" r:id="rId6"/>
    <sheet name="รายละเอียดสินทรัพย์รับเพิ่ม60" sheetId="7" r:id="rId7"/>
    <sheet name="รายละเอียดสินทรัพย์จำหน่าย" sheetId="8" r:id="rId8"/>
    <sheet name="หมายเหตุ 3-4" sheetId="9" r:id="rId9"/>
    <sheet name="หมายเหตุ5-7,9" sheetId="10" r:id="rId10"/>
    <sheet name="หมายเหตุ8" sheetId="11" r:id="rId11"/>
    <sheet name="หมายเหตุ10เงินสะสม60" sheetId="12" r:id="rId12"/>
    <sheet name="คำนวณเงินสะสม,ทุนสำรอง" sheetId="13" r:id="rId13"/>
    <sheet name="พิสูจน์เงินสะสม60" sheetId="14" r:id="rId14"/>
    <sheet name="แนบท้ายหมายเหตุ 10" sheetId="15" r:id="rId15"/>
    <sheet name="หมายเหตุ11เงินทุน" sheetId="16" r:id="rId16"/>
    <sheet name="แนบท้ายหมายเหตุ11" sheetId="17" r:id="rId17"/>
    <sheet name="บัญชีเงินรับฝาก(60)" sheetId="18" r:id="rId18"/>
    <sheet name="พิสูจน์ยอดค่าน้ำประปา" sheetId="19" r:id="rId19"/>
    <sheet name="หมายเหตุนโยบายการบัญชี" sheetId="20" r:id="rId20"/>
  </sheets>
  <definedNames/>
  <calcPr fullCalcOnLoad="1"/>
</workbook>
</file>

<file path=xl/sharedStrings.xml><?xml version="1.0" encoding="utf-8"?>
<sst xmlns="http://schemas.openxmlformats.org/spreadsheetml/2006/main" count="1396" uniqueCount="732">
  <si>
    <t>รายการ</t>
  </si>
  <si>
    <t>รหัสบัญชี</t>
  </si>
  <si>
    <t>เครดิต</t>
  </si>
  <si>
    <t xml:space="preserve"> -</t>
  </si>
  <si>
    <t>ชื่อบัญชี</t>
  </si>
  <si>
    <t>เดบิต</t>
  </si>
  <si>
    <t>-</t>
  </si>
  <si>
    <t>ค่าใช้สอย</t>
  </si>
  <si>
    <t>ค่าวัสดุ</t>
  </si>
  <si>
    <t>เงินอุดหนุน</t>
  </si>
  <si>
    <t>ค่าครุภัณฑ์</t>
  </si>
  <si>
    <t>เงินสะสม</t>
  </si>
  <si>
    <t>เงินทุนสำรองเงินสะสม</t>
  </si>
  <si>
    <t xml:space="preserve"> </t>
  </si>
  <si>
    <t>รวม</t>
  </si>
  <si>
    <t>จำนวนเงิน</t>
  </si>
  <si>
    <t>รายจ่ายตามงบประมาณ</t>
  </si>
  <si>
    <t>สูง</t>
  </si>
  <si>
    <t>ต่ำ</t>
  </si>
  <si>
    <t>รายรับ</t>
  </si>
  <si>
    <t>รายจ่าย</t>
  </si>
  <si>
    <t>งบกลาง</t>
  </si>
  <si>
    <t>+</t>
  </si>
  <si>
    <t>ประเภททรัพย์สิน</t>
  </si>
  <si>
    <t>จำนวน</t>
  </si>
  <si>
    <t>อสังหาริมทรัพย์</t>
  </si>
  <si>
    <t>สังหาริมทรัพย์</t>
  </si>
  <si>
    <t>คงเหลือ</t>
  </si>
  <si>
    <t>หัก</t>
  </si>
  <si>
    <t>บาท</t>
  </si>
  <si>
    <t>รวมเป็นเงินทั้งสิ้น</t>
  </si>
  <si>
    <t>เบิกจ่ายแล้ว</t>
  </si>
  <si>
    <t>ก่อหนี้ผูกพัน</t>
  </si>
  <si>
    <t>บวก</t>
  </si>
  <si>
    <t>หมายเหตุ</t>
  </si>
  <si>
    <t xml:space="preserve">  อ </t>
  </si>
  <si>
    <t xml:space="preserve">                                                                </t>
  </si>
  <si>
    <t>ยังไม่ได้</t>
  </si>
  <si>
    <t>ก่อหนี้</t>
  </si>
  <si>
    <t>หมวดรายได้จากทรัพย์สิน</t>
  </si>
  <si>
    <t>รวมรับจริง</t>
  </si>
  <si>
    <t>ยอดยกมา</t>
  </si>
  <si>
    <t>เงินค่าใช้จ่าย ภบท. 5%</t>
  </si>
  <si>
    <t>เงินรับฝาก - ส่วนลด 6 %</t>
  </si>
  <si>
    <t>ภาษี หัก  ณ  ที่จ่าย</t>
  </si>
  <si>
    <t>จ่ายจาก</t>
  </si>
  <si>
    <t>ครุภัณฑ์</t>
  </si>
  <si>
    <t>ประมาณการ</t>
  </si>
  <si>
    <t>สูงกว่า</t>
  </si>
  <si>
    <t>(ต่ำกว่า)</t>
  </si>
  <si>
    <t>ยอดยกไป</t>
  </si>
  <si>
    <t>เทศบาลตำบลปากน้ำฉวาง</t>
  </si>
  <si>
    <t>เทศบาลตำบลปากน้ำฉวาง  อำเภอฉวาง  จังหวัดนครศรีธรรมราช</t>
  </si>
  <si>
    <t>งบแสดงฐานะการเงิน</t>
  </si>
  <si>
    <t>เทศบาลตำบลปากน้ำฉวาง อ.ฉวาง จ.นครศรีธรรมราช</t>
  </si>
  <si>
    <t>งวดหน้า</t>
  </si>
  <si>
    <t>ชื่อ</t>
  </si>
  <si>
    <t>ก. อสังหาริมทรัพย์</t>
  </si>
  <si>
    <t xml:space="preserve">  1.  ที่ดิน</t>
  </si>
  <si>
    <t>ก. รายได้ของเทศบาล</t>
  </si>
  <si>
    <t xml:space="preserve">  2.  อาคารสำนักงาน</t>
  </si>
  <si>
    <t xml:space="preserve">  3.  สิ่งก่อสร้างอื่น ๆ</t>
  </si>
  <si>
    <t>ข. สังหาริมทรัพย์</t>
  </si>
  <si>
    <t xml:space="preserve">  6. ครุภัณฑ์การเกษตร</t>
  </si>
  <si>
    <t xml:space="preserve">  2. ครุภัณฑ์ทั่วไป</t>
  </si>
  <si>
    <t xml:space="preserve">  4. ครุภัณฑ์งานบ้านงานครัว</t>
  </si>
  <si>
    <t xml:space="preserve">  7. ครุภัณฑ์สาธารณูประโภค</t>
  </si>
  <si>
    <t xml:space="preserve">  1. ครุภัณฑ์คมนาคม</t>
  </si>
  <si>
    <t>รับจริงสูงกว่าจ่ายจริง</t>
  </si>
  <si>
    <t xml:space="preserve">      (นายสง่าชัย  หนูเนียม)</t>
  </si>
  <si>
    <t xml:space="preserve">       (นายบุญธรรม  รุ่งเรือง)</t>
  </si>
  <si>
    <t>ปลัดเทศบาล รักษาราชการแทน</t>
  </si>
  <si>
    <t>นายกเทศมนตรีตำบลปากน้ำฉวาง</t>
  </si>
  <si>
    <t>ผู้อำนวยการกองคลัง</t>
  </si>
  <si>
    <t>(นายสง่าชัย  หนูเนียม)</t>
  </si>
  <si>
    <t xml:space="preserve">   ปลัดเทศบาลตำบล</t>
  </si>
  <si>
    <t>ค. จ่ายขาดเงินสะสม</t>
  </si>
  <si>
    <t>ข. เงินอุดหนุนรัฐบาล</t>
  </si>
  <si>
    <t xml:space="preserve">  5. ครุภัณฑ์สาธารณะ</t>
  </si>
  <si>
    <t xml:space="preserve"> 10. ครุภัณฑ์การศึกษา</t>
  </si>
  <si>
    <t xml:space="preserve"> 11. ครุภัณฑ์โฆษณาและเผยแพร่</t>
  </si>
  <si>
    <t xml:space="preserve"> 12. ครุภัณฑ์อื่น ๆ</t>
  </si>
  <si>
    <t xml:space="preserve">      ผู้อำนวยการกองคลัง</t>
  </si>
  <si>
    <t>ธ.ค.</t>
  </si>
  <si>
    <t>ม.ค.</t>
  </si>
  <si>
    <t>มี.ค.</t>
  </si>
  <si>
    <t>เม.ย.</t>
  </si>
  <si>
    <t>พ.ค.</t>
  </si>
  <si>
    <t>มิ.ย.</t>
  </si>
  <si>
    <t>ส.ค.</t>
  </si>
  <si>
    <t>ก.ย.</t>
  </si>
  <si>
    <t>อำเภอฉวาง  จังหวัดนครศรีธรรมราช</t>
  </si>
  <si>
    <t>หมวดภาษีอากร</t>
  </si>
  <si>
    <t>1)  ภาษีโรงเรือนและที่ดิน</t>
  </si>
  <si>
    <t>2)  ภาษีบำรุงท้องที่</t>
  </si>
  <si>
    <t>3)  ภาษีป้าย</t>
  </si>
  <si>
    <t>หมวดค่าธรรมเนียม  ค่าปรับและใบอนุญาต</t>
  </si>
  <si>
    <t>1)  ดอกเบี้ยเงินฝากธนาคาร</t>
  </si>
  <si>
    <t>หมวดรายได้จากสาธารณูปโภคและการพาณิชย์</t>
  </si>
  <si>
    <t>หมวดรายได้เบ็ดเตล็ด</t>
  </si>
  <si>
    <t>2) รายได้เบ็ดเตล็ดอื่นๆ</t>
  </si>
  <si>
    <t>3) เงินที่มีผู้อุทิศให้</t>
  </si>
  <si>
    <t>รวมรายรับจริง</t>
  </si>
  <si>
    <t>รายได้ที่รัฐบาลจัดสรรให้องค์กรปกครองส่วนท้องถิ่น</t>
  </si>
  <si>
    <t>หมวดภาษีจัดสรร</t>
  </si>
  <si>
    <t>1) ภาษีและค่าธรรมเนียมรถยนต์หรือล้อเลื่อน</t>
  </si>
  <si>
    <t>4) ภาษีธุรกิจเฉพาะ</t>
  </si>
  <si>
    <t>5) ภาษีสุรา</t>
  </si>
  <si>
    <t>6) ภาษีสรรพสามิต</t>
  </si>
  <si>
    <t>รวมรายรับจริงและเงินที่รัฐบาลจัดสรร</t>
  </si>
  <si>
    <t>รวมรายรับจริง,เงินที่รัฐบาลจัดสรรและเงินอุดหนุน</t>
  </si>
  <si>
    <t>รวมรายรับทั้งหมด</t>
  </si>
  <si>
    <t>ครุภัณฑ์สำนักงาน</t>
  </si>
  <si>
    <t>เงินสะสม  มาจาก</t>
  </si>
  <si>
    <t xml:space="preserve">รายรับจริง </t>
  </si>
  <si>
    <t>(รวมรายการกันเงินไว้ด้วยแล้ว)</t>
  </si>
  <si>
    <t>รับจริงจ่ายจริง เหลือ</t>
  </si>
  <si>
    <t>เป็นเงิน สะสม</t>
  </si>
  <si>
    <t>วิธีการบันทึกบัญชี</t>
  </si>
  <si>
    <t>เงินสำรองรายรับ</t>
  </si>
  <si>
    <t>(ปีนี้เทศบาลไม่มีสำรองรายรับ)</t>
  </si>
  <si>
    <t>งบประมาณ</t>
  </si>
  <si>
    <t>1) ค่าขายแบบแปลน</t>
  </si>
  <si>
    <t>หมวดเงินอุดหนุนทั่วไป</t>
  </si>
  <si>
    <t>รวมเงินอุดหนุนทั่วไป</t>
  </si>
  <si>
    <t>เจ้าหนี้เงินสะสม</t>
  </si>
  <si>
    <t>ต.ค</t>
  </si>
  <si>
    <t>พ.ย</t>
  </si>
  <si>
    <t>ก.พ</t>
  </si>
  <si>
    <t>ก.ค</t>
  </si>
  <si>
    <t>ยอดตั้ง</t>
  </si>
  <si>
    <t>กระดาษทำการพิสูจน์ยอดลูกหนี้ค่าน้ำประปา</t>
  </si>
  <si>
    <t>หมวดรายได้จากทุน</t>
  </si>
  <si>
    <t>7) ค่าภาคหลวงแร่</t>
  </si>
  <si>
    <t>รายรับจริงสูงกว่ารายจ่ายจริงหลังหักเงินทุนสำรองเงินสะสม</t>
  </si>
  <si>
    <t>รายได้จากรัฐบาลค้างรับ</t>
  </si>
  <si>
    <t>2) ภาษีมูลค่าเพิ่ม (ตามพรบ.กำหนดแผนฯ)</t>
  </si>
  <si>
    <t>หมายเหตุประกอบงบแสดงฐานะการเงิน</t>
  </si>
  <si>
    <t>สำหรับปี  สิ้นสุดวันที่  30  กันยายน  2560</t>
  </si>
  <si>
    <t>ข้อมูลทั่วไป</t>
  </si>
  <si>
    <t>เทศบาลตำบลปากน้ำฉวาง  ได้รับการจัดตั้งเป็นเทศบาลตำบลตามประกาศกระทรวงมหาดไทย</t>
  </si>
  <si>
    <t>เรื่อง  เปลี่ยนชื่อองค์การบริหารส่วนตำบลฉวาง อำเภอฉวาง จังหวัดนครศรีธรรมราช เป็นองค์การบริหารส่วน-</t>
  </si>
  <si>
    <t xml:space="preserve">ตำบลปากน้ำฉวาง และจัดตั้งเป็นเทศบาลตำบลปากน้ำฉวาง เมื่อวันที่ 22 พฤษภาคม 2556  สำนักงานตั้งอยู่ </t>
  </si>
  <si>
    <t>ณ เลขที่ 211 หมู่ที่ 7 ถนนแหลมยูง-วังม่วง ตำบลฉวาง อำเภอฉวาง จังหวัดนครศรีธรรมราช ห่างจาก</t>
  </si>
  <si>
    <t>อำเภอฉวาง ประมาณ 4 กิโลเมตร และห่างจากอำเภอเมือง ประมาณ 75 กิโลเมตร ตามทางหลวงท้องถิ่น</t>
  </si>
  <si>
    <t>หมายเลข นศ.ถ 76-001 มีพื้นที่ 27 ตารางกิโลเมตร หรือประมาณ 16,875 ไร่ มีพื้นที่ครอบคลุมพื้นที่บางส่วน</t>
  </si>
  <si>
    <t>ประกอบด้วย 6 หมู่บ้าน คือ หมู่ที่ 3 - หมู่ที่ 8</t>
  </si>
  <si>
    <t>อาณาเขตติดต่อ</t>
  </si>
  <si>
    <t>ทิศเหนือ</t>
  </si>
  <si>
    <t>ติดต่อกับตำบลไม้เรียง  อำเภอฉวาง  จังหวัดนครศรีธรรมราช</t>
  </si>
  <si>
    <t>ทิศตะวันออก</t>
  </si>
  <si>
    <t>ติดต่อกับตำบลไสหร้า  และตำบลจันดี  อำเภอฉวาง  จังหวัดนครศรีธรรมราช</t>
  </si>
  <si>
    <t>ทิศใต้</t>
  </si>
  <si>
    <t>ติดต่อกับตำบลทุ่งสง  อำเภอนาบอน, ตำบลหลักช้าง อำเภอช้างกลาง จังหวัดนครครีธรรมราช</t>
  </si>
  <si>
    <t>ทิศตะวันตก</t>
  </si>
  <si>
    <t>ติดต่อกับตำบลนากะชะ  อำเภอฉวาง, ตำบลทุ่งใหญ่ อำเภอทุ่งใหญ่ จังหวัดนครศรีธรรมราช</t>
  </si>
  <si>
    <r>
      <rPr>
        <b/>
        <sz val="16"/>
        <rFont val="TH SarabunPSK"/>
        <family val="2"/>
      </rPr>
      <t>ลักษณะภูมิประเทศ</t>
    </r>
    <r>
      <rPr>
        <sz val="16"/>
        <rFont val="TH SarabunPSK"/>
        <family val="2"/>
      </rPr>
      <t xml:space="preserve">  สภาพทั่วไปของพื้นที่ส่วนใหญ่เป็นที่ราบลุ่มใกล้แม่น้ำ และที่ราบสูงบางส่วน มีแม่น้ำ</t>
    </r>
  </si>
  <si>
    <t>สายหลักไหลผ่าน คือ แม่น้ำตาปี และลำคลองอีก 2 แห่ง คือ คลองคุดด้วน และคลองมีน ลักษณะของดินบริเวณ</t>
  </si>
  <si>
    <t>เทศบาลเป็นดินเนื้อละเอียด มีอินทรีย์วัตถุน้อย เหมาะสำหรับการเพาะปลูก ลักษณะของดินเป็นดินเนื้อหยาย</t>
  </si>
  <si>
    <t>มีอินทรีย์วัตถุน้อยเหมาะสำหรับการปลูกไม้ยืนต้น</t>
  </si>
  <si>
    <r>
      <rPr>
        <b/>
        <sz val="16"/>
        <rFont val="TH SarabunPSK"/>
        <family val="2"/>
      </rPr>
      <t xml:space="preserve">ฝ่ายบริหาร </t>
    </r>
    <r>
      <rPr>
        <sz val="16"/>
        <rFont val="TH SarabunPSK"/>
        <family val="2"/>
      </rPr>
      <t xml:space="preserve"> จำนวน  5  คน  ประกอบด้วย  นายกเทศมนตรี  1  คน  รองนายกเทศมนตรี  2  คน</t>
    </r>
  </si>
  <si>
    <t>เลขานุการนายกเทศมนตรี  1  คน  และที่ปรึกษานายกเทศมนตรี  1  คน</t>
  </si>
  <si>
    <r>
      <rPr>
        <b/>
        <sz val="16"/>
        <rFont val="TH SarabunPSK"/>
        <family val="2"/>
      </rPr>
      <t xml:space="preserve">ฝ่ายนิติบัญญัติ </t>
    </r>
    <r>
      <rPr>
        <sz val="16"/>
        <rFont val="TH SarabunPSK"/>
        <family val="2"/>
      </rPr>
      <t xml:space="preserve"> จำนวน  12  คน  ประกอบด้วย  ประธานสภาเทศบาล 1 คน  รองประธานสภาเทศบาล 1 คน</t>
    </r>
  </si>
  <si>
    <t>และสมาชิกสภาเทศบาล  10  คน</t>
  </si>
  <si>
    <r>
      <rPr>
        <b/>
        <sz val="16"/>
        <rFont val="TH SarabunPSK"/>
        <family val="2"/>
      </rPr>
      <t>ฝ่ายประจำ</t>
    </r>
    <r>
      <rPr>
        <sz val="16"/>
        <rFont val="TH SarabunPSK"/>
        <family val="2"/>
      </rPr>
      <t xml:space="preserve">  จำนวน  31  คน  ประกอบด้วย  พนักงานเทศบาล  10  คน  ข้าราชการครูผู้ดูแลเด็ก  4  คน  </t>
    </r>
  </si>
  <si>
    <t>ลูกจ้างประจำ 2 คน พนักงานจ้างตามภารกิจ 4 คน พนักงานจ้างทั่วไป 9 คน และพนักงานจ้างผู้ดูแลเด็ก 2 คน</t>
  </si>
  <si>
    <t>หมายเหตุ 1  สรุปนโยบายการบัญชีที่สำคัญ</t>
  </si>
  <si>
    <t>1.1  หลักเกณฑ์ในการจัดทำงบแสดงฐานะการเงิน</t>
  </si>
  <si>
    <t>การบันทึกบัญชีเพื่อจัดทำงบแสดงฐานะการเงินเป็นไปตามเกณฑ์เงินสดและเกณฑ์คงค้าง</t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</si>
  <si>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และรายงาน</t>
  </si>
  <si>
    <t>การเงินขององค์กรปกครองส่วนท้องถิ่น  เมื่อวันที่  20  มีนาคม  2558  และหนังสือสั่งการที่เกี่ยวข้อง</t>
  </si>
  <si>
    <t>วัน เดือน ปี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</si>
  <si>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</si>
  <si>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</si>
  <si>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</si>
  <si>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</si>
  <si>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เงินฝาก ก.ส.อ.</t>
  </si>
  <si>
    <t>เงินฝาก ก.ส.ท.</t>
  </si>
  <si>
    <t>ลูกหนี้เงินยืม</t>
  </si>
  <si>
    <t>ลูกหนี้ค่าภาษี</t>
  </si>
  <si>
    <t>ลูกหนี้รายได้อื่นๆ</t>
  </si>
  <si>
    <t>ลูกหนี้เงินทุนโครงการเศรษฐกิจชุมชน</t>
  </si>
  <si>
    <t>ลูกหนี้เงินยืมเงินสะสม</t>
  </si>
  <si>
    <t>รวมสินทรัพย์หมุนเวียน</t>
  </si>
  <si>
    <t>สินทรัพย์ไม่หมุนเวียน</t>
  </si>
  <si>
    <t>หุ้นในโรงพิมพ์อาสารักษาดินแดน</t>
  </si>
  <si>
    <t>ทรัพย์สินเกิดจากเงินกู้</t>
  </si>
  <si>
    <t>รวมสินทรัพย์ไม่หมุนเวียน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</si>
  <si>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</si>
  <si>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</si>
  <si>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ทุนทรัพย์สิน</t>
  </si>
  <si>
    <t>หนี้สิน</t>
  </si>
  <si>
    <t>หนี้สินหมุนเวียน</t>
  </si>
  <si>
    <t xml:space="preserve">รายจ่ายค้างจ่าย </t>
  </si>
  <si>
    <t>รายจ่ายผัดส่งใบสำคัญ</t>
  </si>
  <si>
    <t xml:space="preserve">เงินรับฝาก 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</si>
  <si>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</si>
  <si>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</si>
  <si>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</si>
  <si>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</si>
  <si>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</t>
  </si>
  <si>
    <t>รวมหนี้สินไม่หมุนเวียน</t>
  </si>
  <si>
    <t xml:space="preserve">รวมหนี้สิน  </t>
  </si>
  <si>
    <t>รวมเงินสะสม</t>
  </si>
  <si>
    <t>รวมหนี้สินและเงินสะสม</t>
  </si>
  <si>
    <t>เทศบาลตำบลปากน้ำฉวาง อำเภอฉวาง จังหวัดนครศรีธรรมราช</t>
  </si>
  <si>
    <t xml:space="preserve"> ณ  วันที่  30  กันยายน  2560</t>
  </si>
  <si>
    <t xml:space="preserve">    (นายสง่าชัย  หนูเนียม)</t>
  </si>
  <si>
    <t>(นายบุญธรรม  รุ่งเรือง)</t>
  </si>
  <si>
    <t xml:space="preserve">   (ลงชื่อ)..............................................</t>
  </si>
  <si>
    <t xml:space="preserve">        (ลงชื่อ)................................................</t>
  </si>
  <si>
    <t>หลังปิด</t>
  </si>
  <si>
    <t xml:space="preserve"> +</t>
  </si>
  <si>
    <t xml:space="preserve">รายรับ </t>
  </si>
  <si>
    <t>รวมเงินงบประมาณรายรับทั้งสิ้น</t>
  </si>
  <si>
    <t>รวมรายรับทั้งสิ้น</t>
  </si>
  <si>
    <t xml:space="preserve"> - </t>
  </si>
  <si>
    <t>รายจ่ายตามประมาณการรายจ่ายทั้งสิ้น</t>
  </si>
  <si>
    <t>รวมรายจ่ายทั้งสิ้น</t>
  </si>
  <si>
    <t>รายรับ              รายจ่าย</t>
  </si>
  <si>
    <t>งบรายรับ-รายจ่ายตามงบประมาณประจำปี 2560</t>
  </si>
  <si>
    <t>ตั้งแต่วันที่ 1 ตุลาคม 2559  ถึงวันที่ 30  กันยายน 2560</t>
  </si>
  <si>
    <t>เงินอุดหนุนเฉพาะกิจที่กรมส่งเสริมการปกครองท้องถิ่นจัดสรร</t>
  </si>
  <si>
    <t>รวมเงินอุดหนุนเฉพาะกิจที่กรมส่งเสริมการปกครองจัดสรร</t>
  </si>
  <si>
    <t>รายจ่ายที่จ่ายจากเงินอุดหนุนเฉพาะกิจที่กรมส่งเสริมการปกครองท้องถิ่นจัดสรร</t>
  </si>
  <si>
    <t>รวมเงินอุดหนุนเฉพาะกิจที่กรมส่งเสริมการปกครองท้องถิ่นจัดสรร</t>
  </si>
  <si>
    <t>รับจริง</t>
  </si>
  <si>
    <t>ลูกหนี้ภาษีโรงเรือน/ที่ดิน</t>
  </si>
  <si>
    <t>ลูกหนี้ค่าธรรมเนียมจำกัดขยะมูลฝอย</t>
  </si>
  <si>
    <t>รวมรับจริงทั้งสิ้นปี 60</t>
  </si>
  <si>
    <t>11012001</t>
  </si>
  <si>
    <t>11032000</t>
  </si>
  <si>
    <t>11042000</t>
  </si>
  <si>
    <t>11043001</t>
  </si>
  <si>
    <t>11044000</t>
  </si>
  <si>
    <t>ลูกหนี้รายได้อื่น ๆ - ค่าน้ำประปา</t>
  </si>
  <si>
    <t>21010000</t>
  </si>
  <si>
    <t>21040000</t>
  </si>
  <si>
    <t>31000000</t>
  </si>
  <si>
    <t>32000000</t>
  </si>
  <si>
    <t xml:space="preserve">  ณ วันที่  30 กันยายน 2560</t>
  </si>
  <si>
    <t>ณ วันที่ 30 กันยายน 2560</t>
  </si>
  <si>
    <t>หมายเหตุ 1</t>
  </si>
  <si>
    <r>
      <t>ร</t>
    </r>
    <r>
      <rPr>
        <b/>
        <u val="single"/>
        <sz val="16"/>
        <rFont val="TH SarabunPSK"/>
        <family val="2"/>
      </rPr>
      <t>ายได้จัดเก็บเอง</t>
    </r>
  </si>
  <si>
    <t>41100000</t>
  </si>
  <si>
    <t>41100001</t>
  </si>
  <si>
    <t>กันเงิน 10017</t>
  </si>
  <si>
    <t>41100002</t>
  </si>
  <si>
    <t>41100003</t>
  </si>
  <si>
    <t>1) ค่าธรรมเนียมเก็บและขนขยะมูลฝอย</t>
  </si>
  <si>
    <t>41210008</t>
  </si>
  <si>
    <t>2) ค่าธรรมเนียมจดทะเบียนพาณิชย์</t>
  </si>
  <si>
    <t>41210029</t>
  </si>
  <si>
    <t>3) ค่าธรรมเนียมเกี่ยวกับการควบคุมอาคาร</t>
  </si>
  <si>
    <t>41210007</t>
  </si>
  <si>
    <t>4) ค่าธรรมเนียมตามประมวลกฎหมายที่ดินมาตรา 9</t>
  </si>
  <si>
    <t>41210018</t>
  </si>
  <si>
    <t>5) ค่าธรรมเนียมเกี่ยวกับใบอนุญาตการขายสุรา</t>
  </si>
  <si>
    <t>41210004</t>
  </si>
  <si>
    <t>6) ค่าธรรมเนียมกำจัดขยะมูลฝอย</t>
  </si>
  <si>
    <t>41210030</t>
  </si>
  <si>
    <t>ตั้งลูกหนี้ 177648.05</t>
  </si>
  <si>
    <t>7) ค่าธรรมเนียมอื่นๆ</t>
  </si>
  <si>
    <t>8) ค่าปรับผู้กระทำผิดกฎหมายจราจรทางบก</t>
  </si>
  <si>
    <t>41220002</t>
  </si>
  <si>
    <t>9) ค่าปรับผู้กระทำผิดกฎหมายและข้อบังคับท้องถิ่น</t>
  </si>
  <si>
    <t>10) ค่าปรับการผิดสัญญา</t>
  </si>
  <si>
    <t>11) ค่าใบอนุญาตเกี่ยวกับการควบคุมอาคาร</t>
  </si>
  <si>
    <t>41230007</t>
  </si>
  <si>
    <t xml:space="preserve">12) ค่าใบอนุญาตอื่น ๆ </t>
  </si>
  <si>
    <t>41239999</t>
  </si>
  <si>
    <t>2)  รายได้จากทรัพย์สินอื่น ๆ</t>
  </si>
  <si>
    <t>41399999</t>
  </si>
  <si>
    <t>1) รายได้จากสาธารณูปโภคและการพาณิชย์</t>
  </si>
  <si>
    <t>หน้าที่ 2</t>
  </si>
  <si>
    <t>41500004</t>
  </si>
  <si>
    <t>41599999</t>
  </si>
  <si>
    <t>41500003</t>
  </si>
  <si>
    <t>4) ค่าตอบแทนหน่วยบริการแพทย์ฉุกเฉิน</t>
  </si>
  <si>
    <t>1) ค่าขายทอดตลาดทรัพย์สิน</t>
  </si>
  <si>
    <t>41600001</t>
  </si>
  <si>
    <t>3) ภาษีมูลค่าเพิ่มตามพรบ.จัดสรรรายได้ฯ</t>
  </si>
  <si>
    <t>8) ค่าภาคหลวงปิโตรเลียม</t>
  </si>
  <si>
    <t>9) ค่าธรรมเนียมจดทะเบียนสิทธิและนิติกรรมประมวลกฎหมายที่ดิน</t>
  </si>
  <si>
    <t>10)ภาษีจัดสรรอื่น ฯ</t>
  </si>
  <si>
    <t>รายได้ที่รัฐบาลอุดหนุนให้องค์กรปกครองส่วนท้องถิ่น</t>
  </si>
  <si>
    <t>1) เงินอุดหนุน-ยาเสพติด</t>
  </si>
  <si>
    <t>2) เงินอุดหนุน  -  เบี้ยยังชีพผู้สูงอายุ</t>
  </si>
  <si>
    <t>3) เงินอุดหนุน - เบี้ยยังชีพคนพิการ</t>
  </si>
  <si>
    <t>4) เงินอุดหนุน - ผู้ป่วยเอดส์</t>
  </si>
  <si>
    <t>5) เงินอุดหนุน-ศูนย์อบรมเด็กก่อนเกณฑ์วัดควนสูง</t>
  </si>
  <si>
    <t>6) เงินอุดหนุน-ศพด.ทต ปากน้ำฉวาง</t>
  </si>
  <si>
    <t>7) เงินอุดหนุน-ค่าจัดการเรียนการสอน</t>
  </si>
  <si>
    <t>8) เงินอุดหนุน-อาหารกลางวัน</t>
  </si>
  <si>
    <t>ปฐมวัย=226800/ประถม=306000</t>
  </si>
  <si>
    <t>หน้าที่ 3</t>
  </si>
  <si>
    <t>9) เงินอุดหนุน - อาหารเสริมนม</t>
  </si>
  <si>
    <t>ปฐมวัย=90540/ประถม=146593</t>
  </si>
  <si>
    <t>10) เงินอุดหนุน-เงินเดือน/ค่าตอบแทน/เงินเพิ่ม/สวัสดิการฯลฯ(ตกเบิก)</t>
  </si>
  <si>
    <t>11) เงินอุดหนุน - สวัสดิการช่วยเหลือการศึกษาบุตร</t>
  </si>
  <si>
    <t>12) เงินอุดหนุนทั่วไป (ตามอำนาจหน้าที่และภารกิจถ่ายโอน)</t>
  </si>
  <si>
    <t>หมวดเงินอุดหนุนเฉพาะกิจ</t>
  </si>
  <si>
    <t>1) โครงการก่อสร้างระบบประปาหมู่บ้าน ม.6 บ้านวังขวาง ตำบลฉวาง</t>
  </si>
  <si>
    <t>กันเงิน 498000</t>
  </si>
  <si>
    <t>กันเงิน 1495000</t>
  </si>
  <si>
    <t>กันเงิน 158000</t>
  </si>
  <si>
    <t>รายรับจริงประกอบงบทดลองและรายงานรับ - จ่ายเงิน (หลังปิดบัญชี)</t>
  </si>
  <si>
    <t>รายรับตามงบประมาณ</t>
  </si>
  <si>
    <t>หมวดค่าธรรมเนียม ค่าปรับและใบอนุญาต</t>
  </si>
  <si>
    <t>หมวดงบกลาง</t>
  </si>
  <si>
    <t>หมวดเงินเดือน (ฝ่ายการเมือง)</t>
  </si>
  <si>
    <t>หมวดเงินเดือน (ฝ่ายประจำ)</t>
  </si>
  <si>
    <t>หมวดค่าตอบแทน</t>
  </si>
  <si>
    <t>หมวดค่าใช้สอย</t>
  </si>
  <si>
    <t>หมวดค่าวัสดุ</t>
  </si>
  <si>
    <t>หมวดค่าสาธารณูปโภค</t>
  </si>
  <si>
    <t>หมวดค่าครุภัณฑ์</t>
  </si>
  <si>
    <t>หมวดค่าที่ดินและสิ่งก่อสร้าง</t>
  </si>
  <si>
    <t>หมวดเงินอุดหนุน</t>
  </si>
  <si>
    <r>
      <t xml:space="preserve">หัก  </t>
    </r>
    <r>
      <rPr>
        <sz val="16"/>
        <rFont val="TH SarabunPSK"/>
        <family val="2"/>
      </rPr>
      <t xml:space="preserve">รายจ่าย </t>
    </r>
  </si>
  <si>
    <t>วิธีการคำนวณ  และ ที่มาของเงินสะสม ,เงินทุนสำรองสะสม เงินสำรองรายรับ  ปี 2560</t>
  </si>
  <si>
    <t>สำหรับปี สิ้นสุดวันที่ 30 กันยายน 2560</t>
  </si>
  <si>
    <t>หมายเหตุ 2 งบทรัพย์สิน</t>
  </si>
  <si>
    <t>ราคาทรัพย์สิน</t>
  </si>
  <si>
    <t>รับเพิ่มระหว่างปี</t>
  </si>
  <si>
    <t>จำหน่ายในปี</t>
  </si>
  <si>
    <t xml:space="preserve"> 1 ต.ค. 59</t>
  </si>
  <si>
    <t>ยอดยกไป 30 ก.ย. 60</t>
  </si>
  <si>
    <t>(ลงชื่อ)................................................</t>
  </si>
  <si>
    <t>(ลงชื่อ).........................................</t>
  </si>
  <si>
    <t>(ลงชื่อ)..............................................</t>
  </si>
  <si>
    <t>(ลงชื่อ)...........................................</t>
  </si>
  <si>
    <t>รายละเอียดประกอบงบทรัพย์สิน</t>
  </si>
  <si>
    <t>(ลงชื่อ)..................................</t>
  </si>
  <si>
    <t>(ลงชื่อ)...................................</t>
  </si>
  <si>
    <t>ปลัดเทศบาล</t>
  </si>
  <si>
    <t xml:space="preserve">  3. ครุภัณฑ์สำนักงาน</t>
  </si>
  <si>
    <t xml:space="preserve">  8. ครุภัณฑ์ส่วนโยธา</t>
  </si>
  <si>
    <t xml:space="preserve">  9. ครุภัณฑ์ไฟฟ้าและวิทยุ</t>
  </si>
  <si>
    <t>รายละเอียดงบทรัพย์สิน  ที่จำหน่ายในปี 2560</t>
  </si>
  <si>
    <t xml:space="preserve"> ณ วันที่ 30  กันยายน 2560</t>
  </si>
  <si>
    <t>รายการที่จำหน่ายในปี 2560</t>
  </si>
  <si>
    <t>1. ตู้เหล็กเก็บเอกสาร 2 บานเปิด</t>
  </si>
  <si>
    <t>2. ตู้เหล็กเก็บเอกสาร 2 บานเปิด</t>
  </si>
  <si>
    <t>3. เก้าอี้ทำงาน</t>
  </si>
  <si>
    <t>รวมเป็นเงิน</t>
  </si>
  <si>
    <t>ครุภัณฑ์คมนาคม</t>
  </si>
  <si>
    <t>1. เรือไฟเบอร์กลาสแบบท้องแบนหัวแหลม</t>
  </si>
  <si>
    <t>ลำดับ</t>
  </si>
  <si>
    <t>รายการที่รับเพิ่มในปี 2560</t>
  </si>
  <si>
    <t>ครุภัณฑ์การเกษตร</t>
  </si>
  <si>
    <t>ครุภัณฑ์ทั่วไป</t>
  </si>
  <si>
    <t xml:space="preserve"> 2. PocKet PC</t>
  </si>
  <si>
    <t>2. บันได</t>
  </si>
  <si>
    <t>3. โต๊ะทำงาน</t>
  </si>
  <si>
    <t xml:space="preserve"> 1. Pocket PC </t>
  </si>
  <si>
    <t>4. โต๊ะพร้อมเก้าอี้สำหรับเด็กปฐมวัย</t>
  </si>
  <si>
    <t>5. โทรศัพท์ (ลูก)</t>
  </si>
  <si>
    <t>6. เก้าอี้พักคอย</t>
  </si>
  <si>
    <t>7. เครื่องดูดฝุ่น</t>
  </si>
  <si>
    <t>8. เก้าทำงาน</t>
  </si>
  <si>
    <t>1. รถไถ</t>
  </si>
  <si>
    <t>เงินอุดหนุน อบจ.</t>
  </si>
  <si>
    <t>ครุภัณฑ์โฆษณาและเผยแพร่</t>
  </si>
  <si>
    <t>1. กล้องถ่ายวีดีโอ</t>
  </si>
  <si>
    <t xml:space="preserve">รายละเอียดประกอบ  บัญชีเงินรับฝาก - ประกันสัญญา </t>
  </si>
  <si>
    <t>ณ  วันที่  30  กันยายน  2560</t>
  </si>
  <si>
    <t>(ประเภท  เงินสด)</t>
  </si>
  <si>
    <t>หน้า  1</t>
  </si>
  <si>
    <t>ลำดับที่</t>
  </si>
  <si>
    <t>ชื่อ - สกุล</t>
  </si>
  <si>
    <t>รายการ / โครงการ</t>
  </si>
  <si>
    <t>ที่ครบกำหนด</t>
  </si>
  <si>
    <t>หจก.ควนชะลิกการโยธา</t>
  </si>
  <si>
    <t>โครงการก่อสร้างท่อเหลี่ยม คสล. ม. 4 ต.ฉวาง</t>
  </si>
  <si>
    <t>บร.007/58 เลขที่ 01</t>
  </si>
  <si>
    <t>ตามสัญญาจ้างเลขที่  2/2559  ลว. 13 ม.ค. 59</t>
  </si>
  <si>
    <t>ลว. 13 ม.ค. 59</t>
  </si>
  <si>
    <t>วงเงิน  342,000.-บาท  ประกัน 2 ปี</t>
  </si>
  <si>
    <t>หจก.ศักดิ์ชณา กรุ๊ป</t>
  </si>
  <si>
    <t>โครงการปรับปรุงถนน คสล.สายบบบ้านนางหลี-</t>
  </si>
  <si>
    <t>บร.007/58 เลขที่ 25</t>
  </si>
  <si>
    <t>บ้านนางนิตย์ หงษ์ทอง ม. 3 ตามบันทึกตกลงจ้าง</t>
  </si>
  <si>
    <t>ลว. 24 กพ. 59</t>
  </si>
  <si>
    <t>เลขที่ 29/2559 ลว. 24 กพ. 59 วงเงิน 81,000.-บาท</t>
  </si>
  <si>
    <t>ประกัน 2 ปี</t>
  </si>
  <si>
    <t>โครงการก่อสร้างถนนแอสฟัลท์ติกคอนกรีตสาย</t>
  </si>
  <si>
    <t>บร.007/58 เลขที่ 34</t>
  </si>
  <si>
    <t>สามแยกเกาะลังสาด-คอกช้าง ม.8 ต.ฉวาง อ.ฉวาง</t>
  </si>
  <si>
    <t>ลว. 7 มี.ค. 59</t>
  </si>
  <si>
    <t>ตามสัญญาจ้าง 6/2559 ลว. 7 มี.ค. 59  วงเงิน</t>
  </si>
  <si>
    <t>227,000.-บาท  ประกัน  2  ปี</t>
  </si>
  <si>
    <t>โครงการปรับปรุงถนน คสล.สายบ้านนางหลี-บ้านนาง</t>
  </si>
  <si>
    <t>บร.007/58 เลขที่ 33</t>
  </si>
  <si>
    <t>นิตย์ หงษ์ทอง ม. 3 ต.ฉวาง อ.ฉวาง จ.นครศรีฯ</t>
  </si>
  <si>
    <t>(ต่อจากที่ปรับปรุงเดิม) ตามสัญญาจ้างเลขที่ 7/2559</t>
  </si>
  <si>
    <t>ลว. 7 มี.ค. 59 วงเงิน 362,000.-บาท ประกัน 2 ปี</t>
  </si>
  <si>
    <t>หจก.แซนซันการโยธา</t>
  </si>
  <si>
    <t>ปรับปรุงผิวจราจรแอสฟัลท์ติกคอนกรีนสายวัดวังม่วง-</t>
  </si>
  <si>
    <t>บร. 007/58 เลขที่ 39</t>
  </si>
  <si>
    <t>บ้านแหลมยูง ม. 5,7 ตามสัญญาจ้างเลขที่ 10/2559</t>
  </si>
  <si>
    <t>ลว. 29 มี.ค. 59</t>
  </si>
  <si>
    <t>ลว. 29 มีค. 59 วงเงิน 1,049,600.-บาท</t>
  </si>
  <si>
    <t>หน้า  2</t>
  </si>
  <si>
    <t>โครงการปรับปรุงถนนแอสฟัลท์ติกคอนกรีตสาย</t>
  </si>
  <si>
    <t>บร.011/58 เลขที่ 08</t>
  </si>
  <si>
    <t>วังม่วง-แหลมยูง ม.7 ตามสัญญาจ้างเลขที่</t>
  </si>
  <si>
    <t>ลว. 29 ส.ค. 59</t>
  </si>
  <si>
    <t>13/2559  ลว. 29 ส.ค. 59  วงเงิน 170,000.-บาท</t>
  </si>
  <si>
    <t>ประกัน  2  ปี</t>
  </si>
  <si>
    <t>บริษัท เอส.พี.ซี. 2009 จำกัด</t>
  </si>
  <si>
    <t>โครงการเทพื้น คสล.บริเวณบ่อขยะ ม. 8 ตามสัญญา</t>
  </si>
  <si>
    <t>บร.011/58 เลขที่ 18</t>
  </si>
  <si>
    <t>จ้างเลขที่  14/2559  ลว. 21 ก.ย. 59 วงเงิน</t>
  </si>
  <si>
    <t>ลว. 21 ก.ย. 59</t>
  </si>
  <si>
    <t>495,000.-บาท  ประกัน  2  ปี</t>
  </si>
  <si>
    <t>นายจตุราษฎร์  วิผาลา</t>
  </si>
  <si>
    <t>จ้างเหมาต่อพ่วงข้างรถจักรยานยนต์  ตามใบสั่งจ้าง</t>
  </si>
  <si>
    <t>บร.011/58  เลขที่ 19</t>
  </si>
  <si>
    <t>ที่ นศ 56702/59(133)  ลว. 26 ก.ย. 59  วงเงิน</t>
  </si>
  <si>
    <t>ลว. 26 ก.ย. 59</t>
  </si>
  <si>
    <t>13,500.-บาท  ประกัน  1  ปี</t>
  </si>
  <si>
    <t>โครงการจัดซื้อเรือไฟเบอร์กลาสแบบท้องแบนหัวแหลม</t>
  </si>
  <si>
    <t>บร.011/58 เลขที่ 26</t>
  </si>
  <si>
    <t>พร้อมเครื่องยนต์ ตามสัญญาซื้อขายเลขที่  6/2559</t>
  </si>
  <si>
    <t>ลว. 29 ก.ย. 59</t>
  </si>
  <si>
    <t>ลว. 29 ก.ย. 59  วงเงิน 199,000.-บาท ประกัน 1 ปี</t>
  </si>
  <si>
    <t>24 กพ. 62</t>
  </si>
  <si>
    <t>ร้านกิจเจริญ</t>
  </si>
  <si>
    <t>โครงการก่อสร้างประปาหมู่บ้าน  ม.7  ต.ฉวาง</t>
  </si>
  <si>
    <t>บร.015  เลขที่  19</t>
  </si>
  <si>
    <t>ตามสัญญาจ้างเลขที่ 3/2560  ลว. 21  ธ.ค. 59</t>
  </si>
  <si>
    <t>ลว.  21  ธ.ค. 59</t>
  </si>
  <si>
    <t>วงเงิน  405,000.-บาท  ประกัน  2  ปี</t>
  </si>
  <si>
    <t>หจก.ฐากูร 2006  วิศวกรรม</t>
  </si>
  <si>
    <t>โครงการก่อสร้างระบบประปาหมู่บ้านแบบหอถังสูง</t>
  </si>
  <si>
    <t>บร.  เล่มที่ 015  เลขที่  21</t>
  </si>
  <si>
    <t xml:space="preserve">ขนาด 30 ลบ.ม. รูปทรงถ้วยแชมเปญฯ ม.7 </t>
  </si>
  <si>
    <t>ควนเถี๊ยะ ต.ฉวาง สัญญาเลขที่ 4/2560</t>
  </si>
  <si>
    <t>ลว 21 ธ.ค. 59 วงเงิน 1,495,000.-บาท</t>
  </si>
  <si>
    <t>หน้า  3</t>
  </si>
  <si>
    <t>นายสมหมาย  ช่วยชูจิตร์</t>
  </si>
  <si>
    <t>โครงการปรับปรุงเหมืองสาธารณะประโยชน์</t>
  </si>
  <si>
    <t>บร. 016/58 เลขที่ 01</t>
  </si>
  <si>
    <t>เพื่อระบายน้ำท่วมขังฯ  ตามสัญญาเลขที่ 5/60</t>
  </si>
  <si>
    <t>ลว.  29 ธ.ค. 59</t>
  </si>
  <si>
    <t>ลว.  29  ธ.ค.  59  วงเงิน  280,000.-บาท</t>
  </si>
  <si>
    <t>ประกัน  1  ปี</t>
  </si>
  <si>
    <t>บริษัท ช้างกลางซีแพคจำกัด</t>
  </si>
  <si>
    <t>โครงการก่อสร้างถนน  คสล.สายโรงเรือ-บ้านป้าแอบ</t>
  </si>
  <si>
    <t>บร.028/58  เลขที่  33</t>
  </si>
  <si>
    <t>(ต่อเนื่องจากถรร คสล.เดิม)  ม. 7  ต.ฉวาง</t>
  </si>
  <si>
    <t>ลว.  19  เม.ย. 60</t>
  </si>
  <si>
    <t>ตามสัญญาจ้างเลขที่ 10/2560 ลว. 19  เม.ย. 60</t>
  </si>
  <si>
    <t>วงเงิน  497,000.-บาท  ประกัน  2  ปี</t>
  </si>
  <si>
    <t>โครงการขุดเจาะบ่อบาดาล บริเวณบ่อขยะ  ม.8</t>
  </si>
  <si>
    <t>บร. 029/58  เลขที่  39</t>
  </si>
  <si>
    <t xml:space="preserve">ต.ฉวาง  ตามสัญญาจ้างเลขที่  16/2560  </t>
  </si>
  <si>
    <t>ลว.  1  ส.ค. 60</t>
  </si>
  <si>
    <t>ลว.  1  ส.ค.  60  วงเงิน  149,500.-บาท</t>
  </si>
  <si>
    <t>โครงการก่อสร้างระบบประปาหมู่บ้าน  ม.8</t>
  </si>
  <si>
    <t>บร. 029/58  เลขที่  49</t>
  </si>
  <si>
    <t>ต.ฉวาง  ตามสัญญาจ้างเลขที่  17/2560</t>
  </si>
  <si>
    <t>ลว. 21  ส.ค.  60</t>
  </si>
  <si>
    <t>ลว. 21 ส.ค. 60 วงเงิน 499,000.-บาท  ประกัน 2 ปี</t>
  </si>
  <si>
    <t>หจก.ฐากูร 2006 วิศวกรรม</t>
  </si>
  <si>
    <t>โครงการขยายเขตประปาหมุ่บ้าน  ม.8  บ้านเกาะ-</t>
  </si>
  <si>
    <t>บร.032/58  เลขที่  02</t>
  </si>
  <si>
    <t>ลังสาด ต.ฉวาง  อ.ฉวาง  จ.นครศรีฯ  ตามสัญญา</t>
  </si>
  <si>
    <t>ลว.  21  ส.ค. 60</t>
  </si>
  <si>
    <t>เลขที่  18/2560  ลว.  21  ส.ค. 60  วงเงิน</t>
  </si>
  <si>
    <t>158,000.-บาท   ประกัน  2  ปี</t>
  </si>
  <si>
    <t>โครงการก่อสร้างระบบประปาแบบบาดาล</t>
  </si>
  <si>
    <t>บร.032/58  เลขที่  03</t>
  </si>
  <si>
    <t>ขนาดความจุ  12  ลบ.ม. (ถังเก็บน้ำ)  ม. 7</t>
  </si>
  <si>
    <t>บ้านแหลมยูง ต.ฉวางฯ  ตามสัญญาเลขที่ 19/60</t>
  </si>
  <si>
    <t>ลว.  21  ส.ค.  60  วงเงิน  498,000.-บาท</t>
  </si>
  <si>
    <t>ปรกัน  2  ปี</t>
  </si>
  <si>
    <t>หน้า  4</t>
  </si>
  <si>
    <t>ร้าน kk ทานพอธุรกิจ  999</t>
  </si>
  <si>
    <t>ซื้อครุภัณฑ์คอมพิวเตอร์ (กองคลัง)  จำนวน 4 รายการ</t>
  </si>
  <si>
    <t>บร.032/58  เลขที่  34</t>
  </si>
  <si>
    <t>ตามสัญญาซื้อขายเลขที่  5/2560  ลว. 28 ก.ย. 60</t>
  </si>
  <si>
    <t>ลว.  28  ก.ย. 60</t>
  </si>
  <si>
    <t>วงเงิน  53,800.-บาท  ประกัน  1  ปี</t>
  </si>
  <si>
    <t>ซื้อครุภัณฑ์คอมพิวเตอร์ (สป.)  จำนวน 3 รายการ</t>
  </si>
  <si>
    <t>บร.032/58  เลขที่  35</t>
  </si>
  <si>
    <t>ตามสัญญาซื้อขายเลขที่  6/2560  ลว. 28 ก.ย. 60</t>
  </si>
  <si>
    <t>วงเงิน  46,700.-บาท  ประกัน  1  ปี</t>
  </si>
  <si>
    <t>ซื้อครุภัณฑ์คอมพิวเตอร์ (กองช่าง.)  จำนวน 2 รายการ</t>
  </si>
  <si>
    <t>บร.032/58  เลขที่  36</t>
  </si>
  <si>
    <t>ตามสัญญาซื้อขายเลขที่  7/2560  ลว. 28 ก.ย. 60</t>
  </si>
  <si>
    <t>วงเงิน  48,000.-บาท  ประกัน  1  ปี</t>
  </si>
  <si>
    <t>27  กค.  62</t>
  </si>
  <si>
    <t>หมายเหตุ  3  เงินสดและเงินฝากธนาคาร</t>
  </si>
  <si>
    <t>เงินฝากธนาคาร</t>
  </si>
  <si>
    <t>กรุงไทย  ประเภทออมทรัพย์   เลขที่ 814-0-00415-4</t>
  </si>
  <si>
    <t>หมายเหตุ  4  เงินฝาก ก.ส.ท.</t>
  </si>
  <si>
    <t>เทศบาลตำบลปากน้ำฉวาง อำเภฉวาง  จังหวัดนครศรีธรรมราช</t>
  </si>
  <si>
    <t>โครงการก่อสร้างระบบประปาหมู่บ้านแบบบาดาล ขนาดความจุ 12 ลบ.ม.  ม.7 บ้านแหลมยูง ต. ฉวาง</t>
  </si>
  <si>
    <t>โครงการก่อสร้างระบบประปาหมู่บ้านแบบหอถังสูง ขนาด 30 ลบ.ม. ม. 7 บ้านควนเถี๊ยะ ต. ฉวาง</t>
  </si>
  <si>
    <t>โครงการขยายประปาหมู่บ้าน ม. 8 บ้านเกาะลางสาด ต. ฉวาง</t>
  </si>
  <si>
    <t>ประเภทลูกหนี้</t>
  </si>
  <si>
    <t>ประจำปี</t>
  </si>
  <si>
    <t>จำนวนราย</t>
  </si>
  <si>
    <t>ลูกหนี้ภาษีโรงเรือนและที่ดิน</t>
  </si>
  <si>
    <t>รวมทั้งสิ้น</t>
  </si>
  <si>
    <t xml:space="preserve"> -  ลูกหนี้ค่าธรรมเนียมจำกัดขยะมูลฝอย</t>
  </si>
  <si>
    <t xml:space="preserve">สำหรับปี สิ้นสุดวันที่ 30 กันยายน 2560 </t>
  </si>
  <si>
    <t xml:space="preserve">หมายเหตุ 5  รายได้จากรัฐบาลค้างรับ    </t>
  </si>
  <si>
    <t xml:space="preserve">หมายเหตุ 6  ลูกหนี้ค่าภาษี  </t>
  </si>
  <si>
    <t>หมายเหตุ 7 ลูกหนี้รายได้อื่น ๆ</t>
  </si>
  <si>
    <t xml:space="preserve"> -  ลูกหนี้ค่าน้ำประปา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</si>
  <si>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</si>
  <si>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</si>
  <si>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</si>
  <si>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</si>
  <si>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</si>
  <si>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</si>
  <si>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บริหารงาน</t>
  </si>
  <si>
    <t>บริหารทั่วไป</t>
  </si>
  <si>
    <t>รายจ่ายเพื่อให้</t>
  </si>
  <si>
    <t>จ้างเหมาเก็บขนขยะมูลฝอย</t>
  </si>
  <si>
    <t>ทั่วไป</t>
  </si>
  <si>
    <t>ได้มาซึ่งบริการ</t>
  </si>
  <si>
    <t>และกำจัดสิ่งปฏิกูลมูลฝอย</t>
  </si>
  <si>
    <t>ในเขตทต. ปากน้ำฉวาง</t>
  </si>
  <si>
    <t>การศึกษา</t>
  </si>
  <si>
    <t>ระดับก่อน</t>
  </si>
  <si>
    <t>รายจ่ายเกี่ยวเนื่อง</t>
  </si>
  <si>
    <t>จัดจ้างรถรับ-ส่งเด็กเล็กปฐมวัย</t>
  </si>
  <si>
    <t>วัยเรียนและ</t>
  </si>
  <si>
    <t>กับการปฏิบัติ</t>
  </si>
  <si>
    <t>ประจำเดือนกันยายน 2560</t>
  </si>
  <si>
    <t>ประถมศึกษา</t>
  </si>
  <si>
    <t>ราชการที่ไม่เข้า</t>
  </si>
  <si>
    <t>ลักษณะรายจ่าย</t>
  </si>
  <si>
    <t>หมวดอื่นๆ</t>
  </si>
  <si>
    <t>ศาสนา</t>
  </si>
  <si>
    <t>จัดซื้อครุภัณฑ์ตู้ไม้สักแกะลาย</t>
  </si>
  <si>
    <t>วัฒนธรรม</t>
  </si>
  <si>
    <t>สำนักงาน</t>
  </si>
  <si>
    <t>มีกระจกและชุดโซฟาไม้</t>
  </si>
  <si>
    <t>ท้องถิ่น</t>
  </si>
  <si>
    <t>วัสดุเชื้อเพลิงและ</t>
  </si>
  <si>
    <t>จัดซื้อวัสดุเชื้อเพลิงและหล่อลื่น</t>
  </si>
  <si>
    <t>หล่อลื่น</t>
  </si>
  <si>
    <t>วัสดุสำนักงาน</t>
  </si>
  <si>
    <t>จัดซื้อหนังสือพิมพ์รายวัน</t>
  </si>
  <si>
    <t>จัดซื้อคอมพิวเตอร์</t>
  </si>
  <si>
    <t>คอมพิวเตอร์</t>
  </si>
  <si>
    <t>จัดจ้างปรับปรุงพื้นที่ เพื่อเตรียม</t>
  </si>
  <si>
    <t>การจัดงานประเพณีลากพระและ</t>
  </si>
  <si>
    <t>แข่งขันเรือยาววันออกพรรษา</t>
  </si>
  <si>
    <t>ประจำปี 2560</t>
  </si>
  <si>
    <t>บริหารงานคลัง</t>
  </si>
  <si>
    <t>จ้างเหมาบริการพนักงานจด-</t>
  </si>
  <si>
    <t>มาตรวัดน้ำประปา เก็บเงิน-</t>
  </si>
  <si>
    <t>ค่าน้ำประปาและค่าธรรมเนียมฯ</t>
  </si>
  <si>
    <t>เคหะและ</t>
  </si>
  <si>
    <t>งานบริหารทั่วไป</t>
  </si>
  <si>
    <t>จ้างเหมาบริหารผลิตน้ำประปา</t>
  </si>
  <si>
    <t>ชุมชน</t>
  </si>
  <si>
    <t>เกี่ยวกับเคหะ</t>
  </si>
  <si>
    <t>หมู่บ้าน ม.3 - 8 ตำบลฉวาง</t>
  </si>
  <si>
    <t>และชุมชน</t>
  </si>
  <si>
    <t>งานกำจัดขยะ</t>
  </si>
  <si>
    <t>มูลฝอยและสิ่ง</t>
  </si>
  <si>
    <t>ปฏิกูล</t>
  </si>
  <si>
    <t>จ้างเหมารักษาความปลอดภัย</t>
  </si>
  <si>
    <t>ณ สถานที่กำจัดขยะมูลฝอย</t>
  </si>
  <si>
    <t>ทต. ปากน้ำฉวาง</t>
  </si>
  <si>
    <t>จ้างเหมาบริการซ่อมแซม</t>
  </si>
  <si>
    <t>ติดตั้งไฟฟ้าสาธารณะฯลฯ</t>
  </si>
  <si>
    <t>จ้างเหมาเพื่อคัดแยดขยะมูลฝอย</t>
  </si>
  <si>
    <t>ค่าเช่าเครื่องจักรกล ขนาด</t>
  </si>
  <si>
    <t>ไม่ต่ำกว่า 150 แรงม้า</t>
  </si>
  <si>
    <t>(รถแบ็คโฮ)</t>
  </si>
  <si>
    <t>จัดซื้อครุภัณฑ์คอมพิวเตอร์</t>
  </si>
  <si>
    <t>งานไฟฟ้าถนน</t>
  </si>
  <si>
    <t>ค่าที่ดิน</t>
  </si>
  <si>
    <t>ค่าก่อสร้างสิ่ง</t>
  </si>
  <si>
    <t>ก่อสร้างระบบประปาหมู่บ้าน</t>
  </si>
  <si>
    <t>เฉพาะกิจ</t>
  </si>
  <si>
    <t>และ</t>
  </si>
  <si>
    <t>สาธารณูปโภค</t>
  </si>
  <si>
    <t xml:space="preserve">แบบบาดาล ขนาดความจุ </t>
  </si>
  <si>
    <t>สิ่งก่อสร้าง</t>
  </si>
  <si>
    <t>12 ลบ.ม.  ม.7  บ้านแหลมยูง</t>
  </si>
  <si>
    <t>ขยายเขตประปาหมู่บ้าน ม.8</t>
  </si>
  <si>
    <t xml:space="preserve">บ้านเกาะลางสาด </t>
  </si>
  <si>
    <t xml:space="preserve">แบบหอถังสูง ขนาดความจุ </t>
  </si>
  <si>
    <t>30 ลบ.ม.  ม.7 บ้านควนเถี๊ยะ</t>
  </si>
  <si>
    <t>เงินทุน</t>
  </si>
  <si>
    <t>ขุดเจาะบ่อบาดาลบริเวณบ่อขยะ</t>
  </si>
  <si>
    <t>สำรอง</t>
  </si>
  <si>
    <t>หมู่ที่ 8 ตำบลฉวาง</t>
  </si>
  <si>
    <t xml:space="preserve">หมายเหตุ 8  รายจ่ายค้างจ่าย </t>
  </si>
  <si>
    <t xml:space="preserve">หมายเหตุ  9  เงินรับฝาก   </t>
  </si>
  <si>
    <t>หมายเหตุ 10 เงินสะสม</t>
  </si>
  <si>
    <t>เงินสะสม  1  ตุลาคม  2559</t>
  </si>
  <si>
    <t>หัก 25 % ของรายรับจริงสูงกว่าจ่ายจริง (เงินทุนสำรองเงินสะสม)</t>
  </si>
  <si>
    <t>ปรับปรุงรับคืนเงินทุนการศึกษา ประจำปีงบประมาณ 2560 (ผิดสัญญา)</t>
  </si>
  <si>
    <t>จ่ายขาดเงินสะสม (รายละเอียดแนบท้าย หมายเหตุ 10)</t>
  </si>
  <si>
    <t>เงินสะสม   ณ   วันที่  30  กันยายน 2560</t>
  </si>
  <si>
    <t>เงินสะสม  ณ วันที่ 30  กันยายน  2560  ประกอบด้วย</t>
  </si>
  <si>
    <t xml:space="preserve">ลูกหนี้ค่าภาษี </t>
  </si>
  <si>
    <t>ลูกหนี้รายได้อื่น ๆ</t>
  </si>
  <si>
    <t>รายได้รัฐบาลค้างรับ</t>
  </si>
  <si>
    <t>เงินสะสมที่สามารถนำไปใช้ได้</t>
  </si>
  <si>
    <t>เงินสะสม ณ วันที่ 30  กันยายน  2560</t>
  </si>
  <si>
    <t>ทั้งนี้ในงบประมาณ 2560 ได้รับอนุมัติให้จ่ายเงินทุนสำรองเงินสะสมที่อยู่ระหว่างดำเนินการ จำนวน  648,500.-บาท</t>
  </si>
  <si>
    <t>และจะเบิกจ่ายในปีงบประมาณต่อไป ตามรายละเอียดแนบท้ายหมายเหตุ 11</t>
  </si>
  <si>
    <t>หน้าที่ 1</t>
  </si>
  <si>
    <t>จำนวนเงินที่ได้รับ</t>
  </si>
  <si>
    <t>อนุมัติ</t>
  </si>
  <si>
    <t>(บาท)</t>
  </si>
  <si>
    <t>สำรองจ่าย</t>
  </si>
  <si>
    <t xml:space="preserve"> - จัดซื้อถุงยังชีพ</t>
  </si>
  <si>
    <t>รายจ่ายเกี่ยวเนื่องกับ</t>
  </si>
  <si>
    <t xml:space="preserve"> - จ้างแรงงานราษฎรปฏิบัติงานตัดหญ้า</t>
  </si>
  <si>
    <t>การปฏิบัติราชการ</t>
  </si>
  <si>
    <t>กิ่งไม้ และถางป่าสองข้างทางถนน</t>
  </si>
  <si>
    <t>ที่ไม่เข้าลักษณะรายจ่าย</t>
  </si>
  <si>
    <t>ระยะทาง 6,270 เมตร จำนวน 5 วัน</t>
  </si>
  <si>
    <t>หมวดอื่น ๆ</t>
  </si>
  <si>
    <t>กิ่งไม้ บริเวณแนวเขตประปาหมู่บ้าน หมู่ที่ 3</t>
  </si>
  <si>
    <t>4,5,6,7 และ 8 ตำบลฉวาง จำนวน 5 วัน</t>
  </si>
  <si>
    <t xml:space="preserve"> - จ้างแรงงานราษฎรปฏิบัติงานลอกวัชพืช</t>
  </si>
  <si>
    <t>แหล่งน้ำสาธารณะ บริเวณประปาโคกไม้แดง</t>
  </si>
  <si>
    <t>หมู่ที่ 8 ตำบลฉวาง จำนวน 8 วัน</t>
  </si>
  <si>
    <t xml:space="preserve"> - จัดซื้อวัสดุก่อสร้าง ตามโครงการจ้างแรงงาน</t>
  </si>
  <si>
    <t>ราษฎรปฏิบัติงานทาสีสะพาน จำนวน 3 แห่ง</t>
  </si>
  <si>
    <t xml:space="preserve"> - จัดซื้อน้ำมันเชื้อเพลิงและน้ำมันเครื่อง</t>
  </si>
  <si>
    <t>ตามโครงการจ้างแรงงานราษฎรปฏิบัติงาน</t>
  </si>
  <si>
    <t>ตัดหญ้า กิ่งไม้ ถางป่า และลอกวัชพืช</t>
  </si>
  <si>
    <t>ค่าที่ดินและ</t>
  </si>
  <si>
    <t>ค่าบำรุงรักษาและปรับปรุง</t>
  </si>
  <si>
    <t xml:space="preserve"> - จัดซื้อน้ำมันเชื้อเพลิง ตามโครงการจ้าง</t>
  </si>
  <si>
    <t>ที่ดินและสิ่งก่อสร้าง</t>
  </si>
  <si>
    <t>แรงงานราษฎรปฏิบัติงานซ่อมถนนภายใน</t>
  </si>
  <si>
    <t>เขตเทศบาลตำบลปากน้ำฉวาง</t>
  </si>
  <si>
    <t>ราษฎรปฏิบัติงานซ่อมแซมถนนภายในเขต</t>
  </si>
  <si>
    <t xml:space="preserve"> - จ้างแรงงานราษฎรปฏิบัติงานซ่อมแซมถนน</t>
  </si>
  <si>
    <t>ภายในเขตเทศบาลตำบลปากน้ำฉวาง</t>
  </si>
  <si>
    <t>ที่ได้รับอนุมัติ</t>
  </si>
  <si>
    <t>ค่าก่อสร้างสิ่งสาธารณูปโภค</t>
  </si>
  <si>
    <t xml:space="preserve"> - โครงการถมหินคลุก (ถนนสายปากน้ำ-วังพอ)</t>
  </si>
  <si>
    <t xml:space="preserve">หมู่ที่ 7  ตำบลฉวาง อำเภอฉวาง </t>
  </si>
  <si>
    <t>จังหวัดนครศรีธรรมราช</t>
  </si>
  <si>
    <t xml:space="preserve"> - โครงการปรับปรุงเหมืองสาธารณประโยชน์</t>
  </si>
  <si>
    <t>หมู่ที่ 8 ตำบลฉวาง อำเภอฉวาง</t>
  </si>
  <si>
    <t xml:space="preserve"> - โครงการถมหินคลุก (ถนนสายไสเทียม) </t>
  </si>
  <si>
    <t xml:space="preserve">หมู่ที่ 8 ตำบลฉวาง อำเภอฉวาง </t>
  </si>
  <si>
    <t xml:space="preserve"> - โครงการถมหินคลุก (ถนนสายโคกไม้แดง)</t>
  </si>
  <si>
    <t xml:space="preserve">หมู่ที่ 8  ตำบลฉวาง อำเภอฉวาง </t>
  </si>
  <si>
    <t xml:space="preserve"> - โครงการก่อสร้างถนนคอนกรีตเสริมเหล็ก</t>
  </si>
  <si>
    <t>สายโรงเรือ - บ้านป้าแอบ (ต่อเนื่องจากถนน-</t>
  </si>
  <si>
    <t>คอนกรีตเดิม) หมู่ที่ 7 ตำบลฉวาง อำเภอฉวาง</t>
  </si>
  <si>
    <t xml:space="preserve"> - โครงการก่อสร้างถนนแอสฟัลท์ฯ </t>
  </si>
  <si>
    <t>สายสามแยกบ้านนางประนอม สวนจันทร์ -</t>
  </si>
  <si>
    <t>บ้านนายบัญชา ลิบน้อย หมู่ที่ 6 ตำบลฉวาง</t>
  </si>
  <si>
    <t>อำเภอฉวาง จังหวัดนครศรีธรรมราช</t>
  </si>
  <si>
    <t>สายวัดควนสูง - หัวสะพานด่านฝ้าย หมู่ที่ 8</t>
  </si>
  <si>
    <t>ตำบลฉวาง อำเภอฉวาง จังหวัดนครศรีฯ</t>
  </si>
  <si>
    <t xml:space="preserve"> - โครงการปรับปรุงซ่อมแซม (ถนนสาย</t>
  </si>
  <si>
    <t xml:space="preserve">หัวสะพานพุทธฯ หมู่ที่ 4  - ทุ่งพลี หมู่ที่ 3 </t>
  </si>
  <si>
    <t>ตำบลฉวาง อำเภอฉวาง จังหวัดนครศรีธรรมราช</t>
  </si>
  <si>
    <t xml:space="preserve"> - โครงการก่อสร้างระบบประปาหมู่บ้าน </t>
  </si>
  <si>
    <t xml:space="preserve"> - โครงการขุดเจาะบ่อบาดาลบริเวณบ่อขยะ</t>
  </si>
  <si>
    <t>เงินสะสม  1  ตุลาคม 2559</t>
  </si>
  <si>
    <t xml:space="preserve">ปรับปรุงรายการเงินทุนสำรองเงินสะสมระหว่างปี </t>
  </si>
  <si>
    <t>หมายเหตุ 11 เงินทุนสำรองเงินสะสม</t>
  </si>
  <si>
    <t>รายละเอียดแนบท้ายหมายเหตุ 10 เงินสะสม</t>
  </si>
  <si>
    <t>เงินทุนสำรองเงินสะสม   ณ   วันที่  30  กันยายน  2560</t>
  </si>
  <si>
    <t>จ่ายขาดเงินทุนสำรองเงินสะสม (รายละเอียดแนบท้าย หมายเหตุ 11)</t>
  </si>
  <si>
    <t>ทั้งนี้ในงบประมาณ 2560 ได้รับอนุมัติให้จ่ายเงินทุนสำรองเงินสะสมที่อยู่ระหว่างดำเนินการ จำนวน...............-....................บาท</t>
  </si>
  <si>
    <t>และจะเบิกจ่ายในปีงบประมาณต่อไป ตามรายละเอียดแนบท้ายหมายเหตุ...........-.................</t>
  </si>
  <si>
    <t>รายละเอียดแนบท้ายหมายเหตุ 11 เงินทุนสำรองเงินสะสม</t>
  </si>
  <si>
    <t>พิสูจน์ยอดเงินสะสม ณ 30 กันยายน 2560</t>
  </si>
  <si>
    <t>งบทดลอง หลังปิดบัญชี</t>
  </si>
  <si>
    <t>3) โครงการก่อสร้างระบบประปาหมู่บ้านแบบหอถังสูง ม.7 บ้านควนเถี๊ยะ</t>
  </si>
  <si>
    <t>4) โครงการขยายประปาหมู่บ้าน ม.8 บ้านเกาะลางสาด</t>
  </si>
  <si>
    <t>ปลัดเทศบาลตำบลปากน้ำฉวาง</t>
  </si>
  <si>
    <t>ธกส.   ประเภทออมทรัพย์  เลขที่  890-2-44353-8</t>
  </si>
  <si>
    <t>ธกส. ประเภทออมทรัพย์  เลขที่  890-2-46698-0</t>
  </si>
  <si>
    <t>เงินรับฝาก - รอคืนจังหวัด (ค่าปรับผิดสัญญา)</t>
  </si>
  <si>
    <t>เงินรับฝาก - รอคืนกรมส่งเสริมฯ (เงินเดือนตกเบิก ศพด.)</t>
  </si>
  <si>
    <t>เงินรับฝาก - เงินหลักประกันสัญญา</t>
  </si>
  <si>
    <t>1. เก้าอี้ทำงาน</t>
  </si>
  <si>
    <t>ตั้งแต่วันที่ 1 ตุลาคม 2559 -30  กันยายน 2560</t>
  </si>
  <si>
    <t>(นายบุญธรรม รุ่งเรือง)</t>
  </si>
  <si>
    <t>(นายสง่าชัย  หนูเนียม)               (นายสง่าชัย  หนูเนียม)</t>
  </si>
  <si>
    <t>เงินฝาก ก.ส.ท. (หมายเหตุ 4)</t>
  </si>
  <si>
    <t>รายได้จากรัฐบาลค้างรับ (หมายเหตุ 5)</t>
  </si>
  <si>
    <t>ลูกหนี้-ภาษีโรงเรือนและที่ดิน (หมายเหตุ 6)</t>
  </si>
  <si>
    <t>ลูกหนี้รายได้อื่น ๆ - ค่าธรรมเนียมกำจัดขยะมูลฝอย (หมายเหตุ 7)</t>
  </si>
  <si>
    <t>ลูกหนี้รายได้อื่น ๆ - ค่าน้ำประปา (หมายเหตุ 7)</t>
  </si>
  <si>
    <t>รายจ่ายค้างจ่าย (หมายเหตุ 8)</t>
  </si>
  <si>
    <t>เงินรับฝาก  (หมายเหตุ  9)</t>
  </si>
  <si>
    <t>เงินสะสม (หมายเหตุ 10)</t>
  </si>
  <si>
    <t>เงินทุนสำรองเงินสะสม (หมายเหตุ 11)</t>
  </si>
  <si>
    <t>2) โครงการก่อสร้างระบบประปาหมู่บ้านแบบบาดาล ม.7 บ้านแหลมยูง</t>
  </si>
  <si>
    <t>ง. เงินอุดหนุน อบจ.</t>
  </si>
  <si>
    <t>แหล่งที่มาของทรัพย์สินทั้งหมด</t>
  </si>
  <si>
    <t>รายละเอียดงบทรัพย์สิน  ที่รับเพิ่มในปี 2560</t>
  </si>
  <si>
    <t>เงินรับฝาก - รอคืนจังหวัด (เบี้ยผู้สูงอายุ-พิการ-วัสดุการศึกษา)</t>
  </si>
  <si>
    <t>เงินรับฝาก - โครงการเศรษฐกิจชุมชนทต.ปากน้ำฉวาง</t>
  </si>
  <si>
    <r>
      <t xml:space="preserve">วิธี หาเงินสะสม  </t>
    </r>
    <r>
      <rPr>
        <sz val="16"/>
        <rFont val="TH SarabunPSK"/>
        <family val="2"/>
      </rPr>
      <t xml:space="preserve">โดยเอา เงินที่เหลือจากรายรับจริงหักรายจ่ายจริง  </t>
    </r>
    <r>
      <rPr>
        <b/>
        <u val="single"/>
        <sz val="16"/>
        <rFont val="TH SarabunPSK"/>
        <family val="2"/>
      </rPr>
      <t xml:space="preserve">หัก  </t>
    </r>
    <r>
      <rPr>
        <sz val="16"/>
        <rFont val="TH SarabunPSK"/>
        <family val="2"/>
      </rPr>
      <t xml:space="preserve"> กับเงินทุนสำรองเงินสะสม </t>
    </r>
  </si>
  <si>
    <t>เงินทุนสำรองเงินสะสม 25%</t>
  </si>
  <si>
    <t xml:space="preserve">ปีงบประมาณ พ.ศ. 2560   เทศบาลตำบลปากน้ำฉวาง      </t>
  </si>
  <si>
    <t>ทุนสำรองเงินสะสม</t>
  </si>
  <si>
    <t>พิสูจน์ยอดเงินสะสมจากบัญชีเงินสด  เงินฝากธนาคาร</t>
  </si>
  <si>
    <t>เงินฝากธนาคาร ณ วันที่ 30 กันยายน 2560</t>
  </si>
  <si>
    <t>รายจ่ายค้างจ่าย</t>
  </si>
  <si>
    <t xml:space="preserve">เงินรับฝากต่าง ๆ </t>
  </si>
  <si>
    <t>เท่ากับยอดเงินสะสมที่สามารถนำไปใช้ได้ ณ 30 กันยายน 2560</t>
  </si>
  <si>
    <t>พิสูจน์ยอดเงินสะสมจากงบแสดงฐานะการเงิน</t>
  </si>
  <si>
    <t xml:space="preserve">เงินสะสม  ณ วันที่ 30  กันยายน  2560  </t>
  </si>
  <si>
    <t xml:space="preserve">ลูกหนี้ - ภาษีโรงเรือนและที่ดิน </t>
  </si>
  <si>
    <t>ลูกหนี้รายได้อื่น ๆ - ค่าธรรมเนียมกำจัดขยะมูลฝอย</t>
  </si>
  <si>
    <t>(ลงชื่อ).........................................................</t>
  </si>
  <si>
    <t>(ลงชื่อ).................................................</t>
  </si>
  <si>
    <t>เทศบาลตำบลปากน้ำฉวาง อำเภอฉวาง  จังหวัดนครศรีธรรมราช</t>
  </si>
  <si>
    <t>ปีงบฯ 2560</t>
  </si>
  <si>
    <t>เงินฝากธนาคาร ธกส. (ออมทรัพย์) เลขที่ 890-2-46698-0 (หมายเหตุ 3)</t>
  </si>
  <si>
    <t>เงินฝากธนาคาร กรุงไทย (ออมทรัพย์) เลขที่ 814-0-00415-4 (หมายเหตุ 3)</t>
  </si>
  <si>
    <t xml:space="preserve">       ผู้อำนวยการกองคลัง</t>
  </si>
  <si>
    <t xml:space="preserve">   ปลัดเทศบาล รักษาราชการแทน      ปลัดเทศบาลตำบลปากน้ำฉวาง</t>
  </si>
  <si>
    <t>เงินฝากธนาคาร ธกส. (ออมทรัพย์) เลขที่ 890-2-44353-8 (หมายเหตุ 3)</t>
  </si>
  <si>
    <r>
      <rPr>
        <b/>
        <u val="single"/>
        <sz val="16"/>
        <rFont val="TH SarabunPSK"/>
        <family val="2"/>
      </rPr>
      <t>หัก</t>
    </r>
    <r>
      <rPr>
        <b/>
        <sz val="16"/>
        <rFont val="TH SarabunPSK"/>
        <family val="2"/>
      </rPr>
      <t xml:space="preserve"> 25 % รายรับจริงสูงกว่าจ่ายจริง (เงินทุนสำรองเงินสะสม)</t>
    </r>
  </si>
  <si>
    <t>เทศบาลตำบลปากน้ำฉวาง อ. ฉวาง จ. นครศรีธรรมราช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</si>
</sst>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.0_);_(* \(#,##0.0\);_(* &quot;-&quot;??_);_(@_)"/>
    <numFmt numFmtId="205" formatCode="_(* #,##0_);_(* \(#,##0\);_(* &quot;-&quot;??_);_(@_)"/>
    <numFmt numFmtId="206" formatCode="_(* #,##0.000_);_(* \(#,##0.000\);_(* &quot;-&quot;??_);_(@_)"/>
    <numFmt numFmtId="207" formatCode="_-* #,##0.00_-;\-* #,##0.00_-;_-* &quot;-&quot;_-;_-@_-"/>
    <numFmt numFmtId="208" formatCode="_(* #,##0.0000_);_(* \(#,##0.0000\);_(* &quot;-&quot;??_);_(@_)"/>
    <numFmt numFmtId="209" formatCode="_-* #,##0.000_-;\-* #,##0.000_-;_-* &quot;-&quot;???_-;_-@_-"/>
    <numFmt numFmtId="210" formatCode="_-* #,##0.0000_-;\-* #,##0.0000_-;_-* &quot;-&quot;????_-;_-@_-"/>
    <numFmt numFmtId="211" formatCode="_-* #,##0.0_-;\-* #,##0.0_-;_-* &quot;-&quot;??_-;_-@_-"/>
    <numFmt numFmtId="212" formatCode="_(* #,##0.00000_);_(* \(#,##0.00000\);_(* &quot;-&quot;??_);_(@_)"/>
    <numFmt numFmtId="213" formatCode="_(* #,##0.000000_);_(* \(#,##0.000000\);_(* &quot;-&quot;??_);_(@_)"/>
    <numFmt numFmtId="214" formatCode="0.0"/>
    <numFmt numFmtId="215" formatCode="mmm\-yyyy"/>
    <numFmt numFmtId="216" formatCode="[$-101041E]d\ mmm\ yy;@"/>
    <numFmt numFmtId="217" formatCode="[$-1041E]d\ mmmm\ yyyy"/>
    <numFmt numFmtId="218" formatCode="[$-1041E]#,##0.00;\-#,##0.00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sz val="10"/>
      <name val="TH SarabunPSK"/>
      <family val="2"/>
    </font>
    <font>
      <b/>
      <u val="single"/>
      <sz val="16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b/>
      <sz val="18"/>
      <color indexed="8"/>
      <name val="TH SarabunPSK"/>
      <family val="2"/>
    </font>
    <font>
      <u val="single"/>
      <sz val="16"/>
      <name val="TH SarabunPSK"/>
      <family val="2"/>
    </font>
    <font>
      <sz val="13.5"/>
      <name val="TH SarabunPSK"/>
      <family val="2"/>
    </font>
    <font>
      <sz val="16"/>
      <color indexed="12"/>
      <name val="TH SarabunPSK"/>
      <family val="2"/>
    </font>
    <font>
      <u val="single"/>
      <sz val="16"/>
      <color indexed="12"/>
      <name val="TH SarabunPSK"/>
      <family val="2"/>
    </font>
    <font>
      <sz val="13"/>
      <name val="TH SarabunPSK"/>
      <family val="2"/>
    </font>
    <font>
      <sz val="17"/>
      <name val="TH SarabunPSK"/>
      <family val="2"/>
    </font>
    <font>
      <b/>
      <sz val="17"/>
      <name val="TH SarabunPSK"/>
      <family val="2"/>
    </font>
    <font>
      <u val="singleAccounting"/>
      <sz val="16"/>
      <name val="TH SarabunPSK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Arial"/>
      <family val="2"/>
    </font>
    <font>
      <sz val="16"/>
      <color indexed="8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TH SarabunPSK"/>
      <family val="2"/>
    </font>
    <font>
      <sz val="15"/>
      <color indexed="10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TH SarabunPSK"/>
      <family val="2"/>
    </font>
    <font>
      <sz val="10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TH SarabunPSK"/>
      <family val="2"/>
    </font>
    <font>
      <sz val="15"/>
      <color rgb="FFFF0000"/>
      <name val="TH SarabunPSK"/>
      <family val="2"/>
    </font>
    <font>
      <b/>
      <sz val="16"/>
      <color theme="1"/>
      <name val="TH SarabunPSK"/>
      <family val="2"/>
    </font>
    <font>
      <sz val="10"/>
      <color theme="1"/>
      <name val="TH SarabunPSK"/>
      <family val="2"/>
    </font>
    <font>
      <sz val="10"/>
      <color rgb="FFFF0000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0">
      <alignment/>
      <protection/>
    </xf>
    <xf numFmtId="0" fontId="0" fillId="0" borderId="0">
      <alignment wrapText="1"/>
      <protection/>
    </xf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6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69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94" fontId="9" fillId="0" borderId="0" xfId="41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4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4" fontId="10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94" fontId="9" fillId="0" borderId="0" xfId="4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0" fillId="0" borderId="0" xfId="0" applyFont="1" applyAlignment="1">
      <alignment/>
    </xf>
    <xf numFmtId="0" fontId="4" fillId="0" borderId="1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43" fontId="5" fillId="0" borderId="0" xfId="41" applyNumberFormat="1" applyFont="1" applyAlignment="1">
      <alignment/>
    </xf>
    <xf numFmtId="43" fontId="5" fillId="0" borderId="0" xfId="41" applyNumberFormat="1" applyFont="1" applyBorder="1" applyAlignment="1">
      <alignment/>
    </xf>
    <xf numFmtId="43" fontId="8" fillId="0" borderId="14" xfId="41" applyNumberFormat="1" applyFont="1" applyBorder="1" applyAlignment="1">
      <alignment/>
    </xf>
    <xf numFmtId="0" fontId="13" fillId="0" borderId="0" xfId="0" applyFont="1" applyBorder="1" applyAlignment="1">
      <alignment/>
    </xf>
    <xf numFmtId="43" fontId="5" fillId="0" borderId="0" xfId="41" applyNumberFormat="1" applyFont="1" applyFill="1" applyBorder="1" applyAlignment="1">
      <alignment/>
    </xf>
    <xf numFmtId="43" fontId="8" fillId="0" borderId="0" xfId="41" applyNumberFormat="1" applyFont="1" applyAlignment="1">
      <alignment/>
    </xf>
    <xf numFmtId="0" fontId="10" fillId="0" borderId="0" xfId="0" applyFont="1" applyAlignment="1">
      <alignment/>
    </xf>
    <xf numFmtId="43" fontId="5" fillId="0" borderId="15" xfId="41" applyNumberFormat="1" applyFont="1" applyBorder="1" applyAlignment="1">
      <alignment/>
    </xf>
    <xf numFmtId="43" fontId="8" fillId="0" borderId="15" xfId="41" applyNumberFormat="1" applyFont="1" applyBorder="1" applyAlignment="1">
      <alignment/>
    </xf>
    <xf numFmtId="43" fontId="8" fillId="0" borderId="0" xfId="41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 horizontal="center"/>
    </xf>
    <xf numFmtId="194" fontId="5" fillId="0" borderId="13" xfId="41" applyFont="1" applyBorder="1" applyAlignment="1">
      <alignment/>
    </xf>
    <xf numFmtId="43" fontId="5" fillId="0" borderId="13" xfId="41" applyNumberFormat="1" applyFont="1" applyBorder="1" applyAlignment="1">
      <alignment/>
    </xf>
    <xf numFmtId="0" fontId="13" fillId="0" borderId="0" xfId="0" applyFont="1" applyAlignment="1">
      <alignment/>
    </xf>
    <xf numFmtId="43" fontId="5" fillId="0" borderId="13" xfId="0" applyNumberFormat="1" applyFont="1" applyBorder="1" applyAlignment="1">
      <alignment/>
    </xf>
    <xf numFmtId="43" fontId="5" fillId="0" borderId="11" xfId="41" applyNumberFormat="1" applyFont="1" applyBorder="1" applyAlignment="1">
      <alignment/>
    </xf>
    <xf numFmtId="43" fontId="8" fillId="0" borderId="16" xfId="0" applyNumberFormat="1" applyFont="1" applyBorder="1" applyAlignment="1">
      <alignment/>
    </xf>
    <xf numFmtId="43" fontId="8" fillId="0" borderId="10" xfId="41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43" fontId="5" fillId="0" borderId="12" xfId="41" applyNumberFormat="1" applyFont="1" applyBorder="1" applyAlignment="1">
      <alignment/>
    </xf>
    <xf numFmtId="0" fontId="5" fillId="0" borderId="0" xfId="0" applyFont="1" applyBorder="1" applyAlignment="1">
      <alignment/>
    </xf>
    <xf numFmtId="194" fontId="5" fillId="0" borderId="0" xfId="0" applyNumberFormat="1" applyFont="1" applyAlignment="1">
      <alignment/>
    </xf>
    <xf numFmtId="43" fontId="8" fillId="0" borderId="16" xfId="41" applyNumberFormat="1" applyFont="1" applyBorder="1" applyAlignment="1">
      <alignment/>
    </xf>
    <xf numFmtId="0" fontId="5" fillId="0" borderId="10" xfId="0" applyFont="1" applyBorder="1" applyAlignment="1">
      <alignment/>
    </xf>
    <xf numFmtId="43" fontId="8" fillId="0" borderId="12" xfId="41" applyNumberFormat="1" applyFont="1" applyBorder="1" applyAlignment="1">
      <alignment/>
    </xf>
    <xf numFmtId="0" fontId="5" fillId="0" borderId="0" xfId="0" applyFont="1" applyAlignment="1">
      <alignment horizontal="left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3" fontId="71" fillId="0" borderId="0" xfId="41" applyNumberFormat="1" applyFont="1" applyBorder="1" applyAlignment="1">
      <alignment/>
    </xf>
    <xf numFmtId="207" fontId="5" fillId="0" borderId="0" xfId="41" applyNumberFormat="1" applyFont="1" applyBorder="1" applyAlignment="1">
      <alignment/>
    </xf>
    <xf numFmtId="207" fontId="5" fillId="0" borderId="0" xfId="41" applyNumberFormat="1" applyFont="1" applyBorder="1" applyAlignment="1">
      <alignment horizontal="right"/>
    </xf>
    <xf numFmtId="43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207" fontId="7" fillId="0" borderId="0" xfId="41" applyNumberFormat="1" applyFont="1" applyFill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41" fontId="5" fillId="0" borderId="18" xfId="41" applyNumberFormat="1" applyFont="1" applyBorder="1" applyAlignment="1">
      <alignment/>
    </xf>
    <xf numFmtId="41" fontId="5" fillId="0" borderId="18" xfId="41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07" fontId="8" fillId="0" borderId="16" xfId="41" applyNumberFormat="1" applyFont="1" applyFill="1" applyBorder="1" applyAlignment="1">
      <alignment/>
    </xf>
    <xf numFmtId="207" fontId="5" fillId="0" borderId="18" xfId="41" applyNumberFormat="1" applyFont="1" applyFill="1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top"/>
    </xf>
    <xf numFmtId="207" fontId="5" fillId="0" borderId="18" xfId="41" applyNumberFormat="1" applyFont="1" applyFill="1" applyBorder="1" applyAlignment="1">
      <alignment vertical="top"/>
    </xf>
    <xf numFmtId="207" fontId="5" fillId="0" borderId="18" xfId="41" applyNumberFormat="1" applyFont="1" applyFill="1" applyBorder="1" applyAlignment="1">
      <alignment horizontal="right" vertical="top"/>
    </xf>
    <xf numFmtId="207" fontId="5" fillId="0" borderId="18" xfId="41" applyNumberFormat="1" applyFont="1" applyBorder="1" applyAlignment="1">
      <alignment horizontal="center" vertical="center"/>
    </xf>
    <xf numFmtId="41" fontId="5" fillId="0" borderId="19" xfId="41" applyNumberFormat="1" applyFont="1" applyFill="1" applyBorder="1" applyAlignment="1">
      <alignment/>
    </xf>
    <xf numFmtId="207" fontId="5" fillId="0" borderId="18" xfId="41" applyNumberFormat="1" applyFont="1" applyFill="1" applyBorder="1" applyAlignment="1">
      <alignment horizontal="center" vertical="center"/>
    </xf>
    <xf numFmtId="194" fontId="5" fillId="0" borderId="18" xfId="41" applyFont="1" applyFill="1" applyBorder="1" applyAlignment="1">
      <alignment vertical="top"/>
    </xf>
    <xf numFmtId="0" fontId="73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/>
    </xf>
    <xf numFmtId="0" fontId="8" fillId="0" borderId="20" xfId="0" applyFont="1" applyFill="1" applyBorder="1" applyAlignment="1">
      <alignment horizontal="center" vertical="top"/>
    </xf>
    <xf numFmtId="43" fontId="8" fillId="0" borderId="12" xfId="41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43" fontId="8" fillId="0" borderId="13" xfId="41" applyNumberFormat="1" applyFont="1" applyFill="1" applyBorder="1" applyAlignment="1">
      <alignment vertical="top"/>
    </xf>
    <xf numFmtId="43" fontId="8" fillId="0" borderId="13" xfId="41" applyNumberFormat="1" applyFont="1" applyFill="1" applyBorder="1" applyAlignment="1">
      <alignment horizontal="center" vertical="top"/>
    </xf>
    <xf numFmtId="0" fontId="13" fillId="0" borderId="13" xfId="0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/>
    </xf>
    <xf numFmtId="43" fontId="5" fillId="0" borderId="13" xfId="41" applyNumberFormat="1" applyFont="1" applyFill="1" applyBorder="1" applyAlignment="1">
      <alignment vertical="top"/>
    </xf>
    <xf numFmtId="43" fontId="5" fillId="0" borderId="13" xfId="41" applyNumberFormat="1" applyFont="1" applyFill="1" applyBorder="1" applyAlignment="1">
      <alignment horizontal="center" vertical="top"/>
    </xf>
    <xf numFmtId="43" fontId="73" fillId="0" borderId="0" xfId="0" applyNumberFormat="1" applyFont="1" applyFill="1" applyAlignment="1">
      <alignment vertical="top"/>
    </xf>
    <xf numFmtId="49" fontId="9" fillId="0" borderId="13" xfId="0" applyNumberFormat="1" applyFont="1" applyFill="1" applyBorder="1" applyAlignment="1">
      <alignment horizontal="center" vertical="top"/>
    </xf>
    <xf numFmtId="43" fontId="5" fillId="0" borderId="21" xfId="41" applyNumberFormat="1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43" fontId="8" fillId="0" borderId="12" xfId="41" applyNumberFormat="1" applyFont="1" applyFill="1" applyBorder="1" applyAlignment="1">
      <alignment vertical="top"/>
    </xf>
    <xf numFmtId="43" fontId="8" fillId="0" borderId="21" xfId="41" applyNumberFormat="1" applyFont="1" applyFill="1" applyBorder="1" applyAlignment="1">
      <alignment vertical="top"/>
    </xf>
    <xf numFmtId="4" fontId="5" fillId="0" borderId="13" xfId="41" applyNumberFormat="1" applyFont="1" applyFill="1" applyBorder="1" applyAlignment="1">
      <alignment vertical="top"/>
    </xf>
    <xf numFmtId="0" fontId="73" fillId="0" borderId="0" xfId="0" applyNumberFormat="1" applyFont="1" applyFill="1" applyAlignment="1">
      <alignment vertical="top"/>
    </xf>
    <xf numFmtId="4" fontId="5" fillId="0" borderId="13" xfId="41" applyNumberFormat="1" applyFont="1" applyFill="1" applyBorder="1" applyAlignment="1">
      <alignment horizontal="right" vertical="top"/>
    </xf>
    <xf numFmtId="43" fontId="5" fillId="0" borderId="13" xfId="41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center"/>
    </xf>
    <xf numFmtId="43" fontId="8" fillId="0" borderId="12" xfId="41" applyNumberFormat="1" applyFont="1" applyFill="1" applyBorder="1" applyAlignment="1">
      <alignment horizontal="right" vertical="top"/>
    </xf>
    <xf numFmtId="43" fontId="8" fillId="0" borderId="10" xfId="4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vertical="top"/>
    </xf>
    <xf numFmtId="43" fontId="14" fillId="0" borderId="0" xfId="0" applyNumberFormat="1" applyFont="1" applyFill="1" applyAlignment="1">
      <alignment vertical="top"/>
    </xf>
    <xf numFmtId="0" fontId="9" fillId="0" borderId="13" xfId="0" applyFont="1" applyFill="1" applyBorder="1" applyAlignment="1">
      <alignment vertical="top"/>
    </xf>
    <xf numFmtId="43" fontId="8" fillId="0" borderId="22" xfId="41" applyNumberFormat="1" applyFont="1" applyFill="1" applyBorder="1" applyAlignment="1">
      <alignment vertical="top"/>
    </xf>
    <xf numFmtId="43" fontId="5" fillId="0" borderId="10" xfId="41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/>
    </xf>
    <xf numFmtId="43" fontId="5" fillId="0" borderId="23" xfId="41" applyNumberFormat="1" applyFont="1" applyFill="1" applyBorder="1" applyAlignment="1">
      <alignment vertical="top"/>
    </xf>
    <xf numFmtId="0" fontId="8" fillId="0" borderId="11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43" fontId="8" fillId="0" borderId="0" xfId="41" applyNumberFormat="1" applyFont="1" applyFill="1" applyBorder="1" applyAlignment="1">
      <alignment vertical="top"/>
    </xf>
    <xf numFmtId="43" fontId="15" fillId="0" borderId="0" xfId="41" applyNumberFormat="1" applyFont="1" applyFill="1" applyBorder="1" applyAlignment="1">
      <alignment horizontal="right" vertical="top"/>
    </xf>
    <xf numFmtId="4" fontId="5" fillId="0" borderId="13" xfId="0" applyNumberFormat="1" applyFont="1" applyFill="1" applyBorder="1" applyAlignment="1">
      <alignment horizontal="right" vertical="top"/>
    </xf>
    <xf numFmtId="3" fontId="8" fillId="0" borderId="12" xfId="0" applyNumberFormat="1" applyFont="1" applyFill="1" applyBorder="1" applyAlignment="1">
      <alignment horizontal="center" vertical="top" wrapText="1"/>
    </xf>
    <xf numFmtId="4" fontId="8" fillId="0" borderId="12" xfId="41" applyNumberFormat="1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43" fontId="8" fillId="0" borderId="23" xfId="41" applyNumberFormat="1" applyFont="1" applyFill="1" applyBorder="1" applyAlignment="1">
      <alignment vertical="top"/>
    </xf>
    <xf numFmtId="43" fontId="5" fillId="0" borderId="23" xfId="41" applyNumberFormat="1" applyFont="1" applyFill="1" applyBorder="1" applyAlignment="1">
      <alignment horizontal="right" vertical="top"/>
    </xf>
    <xf numFmtId="0" fontId="18" fillId="0" borderId="13" xfId="0" applyFont="1" applyFill="1" applyBorder="1" applyAlignment="1">
      <alignment vertical="top"/>
    </xf>
    <xf numFmtId="43" fontId="5" fillId="0" borderId="11" xfId="41" applyNumberFormat="1" applyFont="1" applyFill="1" applyBorder="1" applyAlignment="1">
      <alignment vertical="top"/>
    </xf>
    <xf numFmtId="4" fontId="5" fillId="0" borderId="24" xfId="41" applyNumberFormat="1" applyFont="1" applyFill="1" applyBorder="1" applyAlignment="1">
      <alignment horizontal="right" vertical="top"/>
    </xf>
    <xf numFmtId="4" fontId="73" fillId="0" borderId="0" xfId="0" applyNumberFormat="1" applyFont="1" applyFill="1" applyAlignment="1">
      <alignment vertical="top"/>
    </xf>
    <xf numFmtId="43" fontId="5" fillId="0" borderId="10" xfId="41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9" fillId="0" borderId="15" xfId="0" applyFont="1" applyFill="1" applyBorder="1" applyAlignment="1">
      <alignment horizontal="center" vertical="top"/>
    </xf>
    <xf numFmtId="43" fontId="5" fillId="0" borderId="25" xfId="41" applyNumberFormat="1" applyFont="1" applyFill="1" applyBorder="1" applyAlignment="1">
      <alignment vertical="top"/>
    </xf>
    <xf numFmtId="4" fontId="5" fillId="0" borderId="11" xfId="41" applyNumberFormat="1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9" fillId="0" borderId="15" xfId="0" applyFont="1" applyFill="1" applyBorder="1" applyAlignment="1">
      <alignment vertical="top"/>
    </xf>
    <xf numFmtId="43" fontId="5" fillId="0" borderId="0" xfId="41" applyNumberFormat="1" applyFont="1" applyFill="1" applyBorder="1" applyAlignment="1">
      <alignment vertical="top"/>
    </xf>
    <xf numFmtId="4" fontId="15" fillId="0" borderId="15" xfId="41" applyNumberFormat="1" applyFont="1" applyFill="1" applyBorder="1" applyAlignment="1">
      <alignment horizontal="right" vertical="top"/>
    </xf>
    <xf numFmtId="0" fontId="73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center" vertical="top"/>
    </xf>
    <xf numFmtId="4" fontId="9" fillId="0" borderId="23" xfId="41" applyNumberFormat="1" applyFont="1" applyFill="1" applyBorder="1" applyAlignment="1">
      <alignment vertical="top"/>
    </xf>
    <xf numFmtId="4" fontId="9" fillId="0" borderId="0" xfId="41" applyNumberFormat="1" applyFont="1" applyFill="1" applyBorder="1" applyAlignment="1">
      <alignment vertical="top"/>
    </xf>
    <xf numFmtId="43" fontId="8" fillId="0" borderId="26" xfId="41" applyNumberFormat="1" applyFont="1" applyFill="1" applyBorder="1" applyAlignment="1">
      <alignment horizontal="center" vertical="top"/>
    </xf>
    <xf numFmtId="3" fontId="8" fillId="0" borderId="12" xfId="0" applyNumberFormat="1" applyFont="1" applyFill="1" applyBorder="1" applyAlignment="1">
      <alignment horizontal="left" vertical="top" wrapText="1"/>
    </xf>
    <xf numFmtId="4" fontId="8" fillId="0" borderId="27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4" fontId="8" fillId="0" borderId="0" xfId="41" applyNumberFormat="1" applyFont="1" applyFill="1" applyBorder="1" applyAlignment="1">
      <alignment vertical="top"/>
    </xf>
    <xf numFmtId="0" fontId="70" fillId="0" borderId="0" xfId="0" applyFont="1" applyFill="1" applyAlignment="1">
      <alignment vertical="top"/>
    </xf>
    <xf numFmtId="43" fontId="70" fillId="0" borderId="0" xfId="41" applyNumberFormat="1" applyFont="1" applyFill="1" applyAlignment="1">
      <alignment vertical="top"/>
    </xf>
    <xf numFmtId="43" fontId="70" fillId="0" borderId="0" xfId="0" applyNumberFormat="1" applyFont="1" applyFill="1" applyAlignment="1">
      <alignment vertical="top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94" fontId="5" fillId="0" borderId="0" xfId="41" applyFont="1" applyAlignment="1">
      <alignment/>
    </xf>
    <xf numFmtId="194" fontId="8" fillId="0" borderId="14" xfId="41" applyFont="1" applyBorder="1" applyAlignment="1">
      <alignment/>
    </xf>
    <xf numFmtId="194" fontId="4" fillId="0" borderId="0" xfId="41" applyFont="1" applyAlignment="1">
      <alignment/>
    </xf>
    <xf numFmtId="194" fontId="5" fillId="0" borderId="0" xfId="41" applyNumberFormat="1" applyFont="1" applyAlignment="1">
      <alignment/>
    </xf>
    <xf numFmtId="194" fontId="8" fillId="0" borderId="14" xfId="41" applyNumberFormat="1" applyFont="1" applyBorder="1" applyAlignment="1">
      <alignment/>
    </xf>
    <xf numFmtId="194" fontId="8" fillId="0" borderId="0" xfId="41" applyFont="1" applyAlignment="1">
      <alignment/>
    </xf>
    <xf numFmtId="194" fontId="8" fillId="0" borderId="0" xfId="41" applyNumberFormat="1" applyFont="1" applyAlignment="1">
      <alignment/>
    </xf>
    <xf numFmtId="194" fontId="8" fillId="0" borderId="0" xfId="41" applyNumberFormat="1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94" fontId="74" fillId="0" borderId="0" xfId="41" applyFont="1" applyFill="1" applyAlignment="1">
      <alignment/>
    </xf>
    <xf numFmtId="194" fontId="74" fillId="0" borderId="0" xfId="41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194" fontId="5" fillId="0" borderId="0" xfId="41" applyFont="1" applyFill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5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left" vertical="center"/>
    </xf>
    <xf numFmtId="0" fontId="12" fillId="33" borderId="0" xfId="0" applyFont="1" applyFill="1" applyAlignment="1">
      <alignment/>
    </xf>
    <xf numFmtId="0" fontId="8" fillId="33" borderId="28" xfId="0" applyFont="1" applyFill="1" applyBorder="1" applyAlignment="1">
      <alignment horizontal="center"/>
    </xf>
    <xf numFmtId="194" fontId="8" fillId="33" borderId="28" xfId="41" applyFont="1" applyFill="1" applyBorder="1" applyAlignment="1">
      <alignment horizontal="center"/>
    </xf>
    <xf numFmtId="0" fontId="75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25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94" fontId="5" fillId="33" borderId="11" xfId="41" applyFont="1" applyFill="1" applyBorder="1" applyAlignment="1">
      <alignment horizontal="right"/>
    </xf>
    <xf numFmtId="0" fontId="70" fillId="33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/>
    </xf>
    <xf numFmtId="0" fontId="75" fillId="33" borderId="11" xfId="0" applyFont="1" applyFill="1" applyBorder="1" applyAlignment="1">
      <alignment horizontal="center"/>
    </xf>
    <xf numFmtId="0" fontId="8" fillId="33" borderId="30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94" fontId="5" fillId="33" borderId="12" xfId="41" applyFont="1" applyFill="1" applyBorder="1" applyAlignment="1">
      <alignment/>
    </xf>
    <xf numFmtId="194" fontId="70" fillId="33" borderId="11" xfId="41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194" fontId="70" fillId="33" borderId="12" xfId="41" applyFont="1" applyFill="1" applyBorder="1" applyAlignment="1">
      <alignment/>
    </xf>
    <xf numFmtId="0" fontId="8" fillId="33" borderId="12" xfId="0" applyFont="1" applyFill="1" applyBorder="1" applyAlignment="1">
      <alignment horizontal="left"/>
    </xf>
    <xf numFmtId="194" fontId="75" fillId="33" borderId="16" xfId="41" applyFont="1" applyFill="1" applyBorder="1" applyAlignment="1">
      <alignment/>
    </xf>
    <xf numFmtId="0" fontId="5" fillId="33" borderId="12" xfId="0" applyFont="1" applyFill="1" applyBorder="1" applyAlignment="1">
      <alignment horizontal="left"/>
    </xf>
    <xf numFmtId="194" fontId="5" fillId="33" borderId="12" xfId="41" applyFont="1" applyFill="1" applyBorder="1" applyAlignment="1">
      <alignment horizontal="left"/>
    </xf>
    <xf numFmtId="0" fontId="12" fillId="33" borderId="0" xfId="0" applyFont="1" applyFill="1" applyAlignment="1">
      <alignment horizontal="left"/>
    </xf>
    <xf numFmtId="194" fontId="8" fillId="33" borderId="12" xfId="41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194" fontId="5" fillId="33" borderId="16" xfId="41" applyFont="1" applyFill="1" applyBorder="1" applyAlignment="1">
      <alignment/>
    </xf>
    <xf numFmtId="194" fontId="75" fillId="33" borderId="31" xfId="4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194" fontId="5" fillId="33" borderId="0" xfId="41" applyFont="1" applyFill="1" applyAlignment="1">
      <alignment/>
    </xf>
    <xf numFmtId="0" fontId="70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76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28" xfId="0" applyFont="1" applyFill="1" applyBorder="1" applyAlignment="1">
      <alignment horizontal="center"/>
    </xf>
    <xf numFmtId="194" fontId="8" fillId="0" borderId="28" xfId="41" applyFont="1" applyFill="1" applyBorder="1" applyAlignment="1">
      <alignment horizontal="center"/>
    </xf>
    <xf numFmtId="0" fontId="75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94" fontId="5" fillId="0" borderId="12" xfId="41" applyFont="1" applyFill="1" applyBorder="1" applyAlignment="1">
      <alignment/>
    </xf>
    <xf numFmtId="194" fontId="70" fillId="0" borderId="11" xfId="4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194" fontId="70" fillId="0" borderId="12" xfId="4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7" fillId="0" borderId="0" xfId="0" applyFont="1" applyFill="1" applyAlignment="1">
      <alignment/>
    </xf>
    <xf numFmtId="0" fontId="8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194" fontId="8" fillId="0" borderId="12" xfId="41" applyFont="1" applyFill="1" applyBorder="1" applyAlignment="1">
      <alignment/>
    </xf>
    <xf numFmtId="194" fontId="75" fillId="0" borderId="12" xfId="41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194" fontId="5" fillId="0" borderId="12" xfId="4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194" fontId="8" fillId="0" borderId="12" xfId="41" applyFont="1" applyFill="1" applyBorder="1" applyAlignment="1">
      <alignment horizontal="left"/>
    </xf>
    <xf numFmtId="194" fontId="75" fillId="0" borderId="16" xfId="4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94" fontId="5" fillId="0" borderId="16" xfId="41" applyFont="1" applyFill="1" applyBorder="1" applyAlignment="1">
      <alignment/>
    </xf>
    <xf numFmtId="194" fontId="75" fillId="0" borderId="31" xfId="4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94" fontId="5" fillId="0" borderId="0" xfId="41" applyFont="1" applyFill="1" applyAlignment="1">
      <alignment/>
    </xf>
    <xf numFmtId="0" fontId="7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76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15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43" fontId="4" fillId="0" borderId="13" xfId="41" applyNumberFormat="1" applyFont="1" applyBorder="1" applyAlignment="1">
      <alignment horizontal="right" vertical="center"/>
    </xf>
    <xf numFmtId="15" fontId="4" fillId="0" borderId="13" xfId="0" applyNumberFormat="1" applyFont="1" applyBorder="1" applyAlignment="1">
      <alignment horizontal="left" vertical="center"/>
    </xf>
    <xf numFmtId="43" fontId="4" fillId="0" borderId="13" xfId="41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3" fontId="4" fillId="0" borderId="11" xfId="41" applyNumberFormat="1" applyFont="1" applyBorder="1" applyAlignment="1">
      <alignment horizontal="center" vertical="center"/>
    </xf>
    <xf numFmtId="43" fontId="15" fillId="0" borderId="31" xfId="41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43" fontId="4" fillId="0" borderId="13" xfId="41" applyNumberFormat="1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43" fontId="4" fillId="0" borderId="11" xfId="41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43" fontId="4" fillId="0" borderId="0" xfId="41" applyNumberFormat="1" applyFont="1" applyBorder="1" applyAlignment="1">
      <alignment/>
    </xf>
    <xf numFmtId="43" fontId="4" fillId="0" borderId="11" xfId="41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left" vertical="center"/>
    </xf>
    <xf numFmtId="15" fontId="18" fillId="0" borderId="13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21" fillId="0" borderId="13" xfId="0" applyFont="1" applyFill="1" applyBorder="1" applyAlignment="1">
      <alignment/>
    </xf>
    <xf numFmtId="43" fontId="8" fillId="0" borderId="33" xfId="41" applyNumberFormat="1" applyFont="1" applyFill="1" applyBorder="1" applyAlignment="1">
      <alignment/>
    </xf>
    <xf numFmtId="43" fontId="5" fillId="0" borderId="0" xfId="0" applyNumberFormat="1" applyFont="1" applyFill="1" applyAlignment="1">
      <alignment/>
    </xf>
    <xf numFmtId="194" fontId="5" fillId="0" borderId="15" xfId="41" applyNumberFormat="1" applyFont="1" applyBorder="1" applyAlignment="1">
      <alignment/>
    </xf>
    <xf numFmtId="194" fontId="8" fillId="0" borderId="0" xfId="41" applyNumberFormat="1" applyFont="1" applyBorder="1" applyAlignment="1">
      <alignment/>
    </xf>
    <xf numFmtId="43" fontId="5" fillId="0" borderId="15" xfId="0" applyNumberFormat="1" applyFont="1" applyBorder="1" applyAlignment="1">
      <alignment/>
    </xf>
    <xf numFmtId="0" fontId="75" fillId="0" borderId="0" xfId="0" applyFont="1" applyAlignment="1">
      <alignment/>
    </xf>
    <xf numFmtId="43" fontId="70" fillId="0" borderId="0" xfId="41" applyNumberFormat="1" applyFont="1" applyAlignment="1">
      <alignment/>
    </xf>
    <xf numFmtId="43" fontId="75" fillId="0" borderId="14" xfId="41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194" fontId="11" fillId="0" borderId="0" xfId="41" applyFont="1" applyAlignment="1">
      <alignment/>
    </xf>
    <xf numFmtId="0" fontId="22" fillId="0" borderId="0" xfId="0" applyFont="1" applyAlignment="1">
      <alignment/>
    </xf>
    <xf numFmtId="194" fontId="22" fillId="0" borderId="0" xfId="41" applyFont="1" applyAlignment="1">
      <alignment/>
    </xf>
    <xf numFmtId="194" fontId="5" fillId="0" borderId="15" xfId="41" applyFont="1" applyBorder="1" applyAlignment="1">
      <alignment/>
    </xf>
    <xf numFmtId="0" fontId="21" fillId="0" borderId="0" xfId="0" applyFont="1" applyAlignment="1">
      <alignment/>
    </xf>
    <xf numFmtId="194" fontId="11" fillId="0" borderId="0" xfId="41" applyFont="1" applyAlignment="1">
      <alignment horizontal="center"/>
    </xf>
    <xf numFmtId="194" fontId="5" fillId="0" borderId="0" xfId="41" applyFont="1" applyAlignment="1">
      <alignment horizontal="center"/>
    </xf>
    <xf numFmtId="0" fontId="23" fillId="0" borderId="0" xfId="0" applyFont="1" applyAlignment="1">
      <alignment horizontal="center"/>
    </xf>
    <xf numFmtId="194" fontId="11" fillId="0" borderId="0" xfId="0" applyNumberFormat="1" applyFont="1" applyBorder="1" applyAlignment="1">
      <alignment horizontal="center"/>
    </xf>
    <xf numFmtId="194" fontId="8" fillId="0" borderId="14" xfId="0" applyNumberFormat="1" applyFont="1" applyBorder="1" applyAlignment="1">
      <alignment horizontal="center"/>
    </xf>
    <xf numFmtId="194" fontId="11" fillId="0" borderId="0" xfId="0" applyNumberFormat="1" applyFont="1" applyBorder="1" applyAlignment="1">
      <alignment/>
    </xf>
    <xf numFmtId="0" fontId="78" fillId="33" borderId="0" xfId="0" applyFont="1" applyFill="1" applyAlignment="1">
      <alignment horizontal="left"/>
    </xf>
    <xf numFmtId="0" fontId="8" fillId="0" borderId="30" xfId="0" applyFont="1" applyBorder="1" applyAlignment="1">
      <alignment horizontal="center"/>
    </xf>
    <xf numFmtId="194" fontId="8" fillId="0" borderId="12" xfId="41" applyFont="1" applyBorder="1" applyAlignment="1">
      <alignment horizontal="center"/>
    </xf>
    <xf numFmtId="205" fontId="5" fillId="0" borderId="13" xfId="41" applyNumberFormat="1" applyFont="1" applyBorder="1" applyAlignment="1">
      <alignment horizontal="left" vertical="center"/>
    </xf>
    <xf numFmtId="0" fontId="5" fillId="0" borderId="23" xfId="0" applyFont="1" applyBorder="1" applyAlignment="1">
      <alignment/>
    </xf>
    <xf numFmtId="194" fontId="5" fillId="0" borderId="13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 horizontal="left"/>
    </xf>
    <xf numFmtId="194" fontId="24" fillId="0" borderId="11" xfId="41" applyFont="1" applyBorder="1" applyAlignment="1">
      <alignment/>
    </xf>
    <xf numFmtId="194" fontId="5" fillId="0" borderId="11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205" fontId="5" fillId="0" borderId="17" xfId="41" applyNumberFormat="1" applyFont="1" applyBorder="1" applyAlignment="1">
      <alignment horizontal="right"/>
    </xf>
    <xf numFmtId="205" fontId="5" fillId="0" borderId="12" xfId="41" applyNumberFormat="1" applyFont="1" applyBorder="1" applyAlignment="1">
      <alignment horizontal="right"/>
    </xf>
    <xf numFmtId="194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205" fontId="8" fillId="0" borderId="11" xfId="41" applyNumberFormat="1" applyFont="1" applyBorder="1" applyAlignment="1">
      <alignment horizontal="right"/>
    </xf>
    <xf numFmtId="194" fontId="8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94" fontId="11" fillId="0" borderId="0" xfId="41" applyFont="1" applyBorder="1" applyAlignment="1">
      <alignment/>
    </xf>
    <xf numFmtId="43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194" fontId="8" fillId="0" borderId="33" xfId="41" applyFont="1" applyBorder="1" applyAlignment="1">
      <alignment horizontal="center"/>
    </xf>
    <xf numFmtId="194" fontId="11" fillId="0" borderId="0" xfId="41" applyNumberFormat="1" applyFont="1" applyBorder="1" applyAlignment="1">
      <alignment/>
    </xf>
    <xf numFmtId="0" fontId="8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194" fontId="5" fillId="0" borderId="0" xfId="41" applyNumberFormat="1" applyFont="1" applyBorder="1" applyAlignment="1">
      <alignment horizontal="left" vertical="center"/>
    </xf>
    <xf numFmtId="194" fontId="5" fillId="0" borderId="0" xfId="41" applyNumberFormat="1" applyFont="1" applyBorder="1" applyAlignment="1">
      <alignment/>
    </xf>
    <xf numFmtId="194" fontId="5" fillId="0" borderId="0" xfId="41" applyFont="1" applyBorder="1" applyAlignment="1">
      <alignment/>
    </xf>
    <xf numFmtId="194" fontId="8" fillId="0" borderId="14" xfId="0" applyNumberFormat="1" applyFont="1" applyBorder="1" applyAlignment="1">
      <alignment/>
    </xf>
    <xf numFmtId="194" fontId="5" fillId="0" borderId="15" xfId="41" applyFont="1" applyBorder="1" applyAlignment="1">
      <alignment horizontal="center"/>
    </xf>
    <xf numFmtId="194" fontId="5" fillId="0" borderId="10" xfId="41" applyFont="1" applyBorder="1" applyAlignment="1">
      <alignment vertical="center"/>
    </xf>
    <xf numFmtId="194" fontId="5" fillId="0" borderId="10" xfId="4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205" fontId="5" fillId="0" borderId="10" xfId="41" applyNumberFormat="1" applyFont="1" applyBorder="1" applyAlignment="1">
      <alignment vertical="center"/>
    </xf>
    <xf numFmtId="194" fontId="5" fillId="0" borderId="13" xfId="41" applyFont="1" applyBorder="1" applyAlignment="1">
      <alignment vertical="center"/>
    </xf>
    <xf numFmtId="194" fontId="5" fillId="0" borderId="13" xfId="4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94" fontId="5" fillId="0" borderId="34" xfId="41" applyFont="1" applyBorder="1" applyAlignment="1">
      <alignment vertical="center"/>
    </xf>
    <xf numFmtId="194" fontId="5" fillId="0" borderId="34" xfId="41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205" fontId="5" fillId="0" borderId="13" xfId="41" applyNumberFormat="1" applyFont="1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194" fontId="5" fillId="0" borderId="13" xfId="41" applyFont="1" applyBorder="1" applyAlignment="1">
      <alignment horizontal="left" vertical="center"/>
    </xf>
    <xf numFmtId="43" fontId="5" fillId="0" borderId="13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194" fontId="5" fillId="0" borderId="34" xfId="41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205" fontId="5" fillId="0" borderId="13" xfId="41" applyNumberFormat="1" applyFont="1" applyBorder="1" applyAlignment="1">
      <alignment/>
    </xf>
    <xf numFmtId="194" fontId="5" fillId="0" borderId="13" xfId="41" applyNumberFormat="1" applyFont="1" applyBorder="1" applyAlignment="1">
      <alignment horizontal="left"/>
    </xf>
    <xf numFmtId="194" fontId="5" fillId="0" borderId="34" xfId="41" applyNumberFormat="1" applyFont="1" applyBorder="1" applyAlignment="1">
      <alignment/>
    </xf>
    <xf numFmtId="194" fontId="5" fillId="0" borderId="13" xfId="41" applyNumberFormat="1" applyFont="1" applyBorder="1" applyAlignment="1">
      <alignment/>
    </xf>
    <xf numFmtId="0" fontId="9" fillId="0" borderId="34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194" fontId="5" fillId="0" borderId="35" xfId="4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194" fontId="5" fillId="0" borderId="35" xfId="41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205" fontId="5" fillId="0" borderId="21" xfId="41" applyNumberFormat="1" applyFont="1" applyBorder="1" applyAlignment="1">
      <alignment vertical="center"/>
    </xf>
    <xf numFmtId="194" fontId="5" fillId="0" borderId="34" xfId="41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194" fontId="5" fillId="0" borderId="35" xfId="41" applyFont="1" applyBorder="1" applyAlignment="1">
      <alignment/>
    </xf>
    <xf numFmtId="0" fontId="5" fillId="0" borderId="35" xfId="0" applyFont="1" applyBorder="1" applyAlignment="1">
      <alignment horizontal="center"/>
    </xf>
    <xf numFmtId="205" fontId="5" fillId="0" borderId="35" xfId="41" applyNumberFormat="1" applyFont="1" applyBorder="1" applyAlignment="1">
      <alignment vertical="center"/>
    </xf>
    <xf numFmtId="0" fontId="5" fillId="0" borderId="36" xfId="0" applyFont="1" applyBorder="1" applyAlignment="1">
      <alignment horizontal="center"/>
    </xf>
    <xf numFmtId="205" fontId="8" fillId="0" borderId="12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94" fontId="5" fillId="0" borderId="11" xfId="41" applyFont="1" applyBorder="1" applyAlignment="1">
      <alignment horizontal="left" vertical="center"/>
    </xf>
    <xf numFmtId="194" fontId="5" fillId="0" borderId="11" xfId="4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5" fontId="8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94" fontId="5" fillId="0" borderId="0" xfId="4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94" fontId="5" fillId="0" borderId="0" xfId="4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5" fillId="0" borderId="0" xfId="0" applyNumberFormat="1" applyFont="1" applyBorder="1" applyAlignment="1">
      <alignment/>
    </xf>
    <xf numFmtId="43" fontId="8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194" fontId="5" fillId="0" borderId="20" xfId="41" applyFont="1" applyFill="1" applyBorder="1" applyAlignment="1">
      <alignment horizontal="center"/>
    </xf>
    <xf numFmtId="194" fontId="5" fillId="0" borderId="12" xfId="41" applyFont="1" applyFill="1" applyBorder="1" applyAlignment="1">
      <alignment horizontal="center"/>
    </xf>
    <xf numFmtId="194" fontId="5" fillId="0" borderId="12" xfId="41" applyFont="1" applyBorder="1" applyAlignment="1">
      <alignment/>
    </xf>
    <xf numFmtId="0" fontId="5" fillId="0" borderId="13" xfId="0" applyFont="1" applyFill="1" applyBorder="1" applyAlignment="1">
      <alignment horizontal="left"/>
    </xf>
    <xf numFmtId="194" fontId="5" fillId="0" borderId="10" xfId="41" applyFont="1" applyBorder="1" applyAlignment="1">
      <alignment/>
    </xf>
    <xf numFmtId="0" fontId="5" fillId="0" borderId="24" xfId="0" applyFont="1" applyBorder="1" applyAlignment="1">
      <alignment/>
    </xf>
    <xf numFmtId="194" fontId="5" fillId="0" borderId="11" xfId="41" applyFont="1" applyBorder="1" applyAlignment="1">
      <alignment/>
    </xf>
    <xf numFmtId="194" fontId="5" fillId="0" borderId="24" xfId="41" applyFont="1" applyBorder="1" applyAlignment="1">
      <alignment/>
    </xf>
    <xf numFmtId="194" fontId="5" fillId="0" borderId="21" xfId="4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8" fillId="0" borderId="16" xfId="0" applyFont="1" applyBorder="1" applyAlignment="1">
      <alignment horizontal="center"/>
    </xf>
    <xf numFmtId="194" fontId="8" fillId="0" borderId="16" xfId="41" applyFont="1" applyBorder="1" applyAlignment="1">
      <alignment/>
    </xf>
    <xf numFmtId="0" fontId="5" fillId="0" borderId="21" xfId="0" applyFont="1" applyBorder="1" applyAlignment="1">
      <alignment/>
    </xf>
    <xf numFmtId="194" fontId="8" fillId="0" borderId="11" xfId="41" applyFont="1" applyBorder="1" applyAlignment="1">
      <alignment/>
    </xf>
    <xf numFmtId="0" fontId="5" fillId="0" borderId="32" xfId="0" applyFont="1" applyBorder="1" applyAlignment="1">
      <alignment/>
    </xf>
    <xf numFmtId="0" fontId="8" fillId="0" borderId="37" xfId="0" applyFont="1" applyBorder="1" applyAlignment="1">
      <alignment horizontal="center"/>
    </xf>
    <xf numFmtId="0" fontId="5" fillId="0" borderId="35" xfId="0" applyFont="1" applyBorder="1" applyAlignment="1">
      <alignment vertical="top"/>
    </xf>
    <xf numFmtId="49" fontId="5" fillId="0" borderId="35" xfId="0" applyNumberFormat="1" applyFont="1" applyBorder="1" applyAlignment="1">
      <alignment horizontal="center" vertical="top"/>
    </xf>
    <xf numFmtId="0" fontId="7" fillId="33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/>
    </xf>
    <xf numFmtId="43" fontId="8" fillId="0" borderId="0" xfId="41" applyNumberFormat="1" applyFont="1" applyFill="1" applyBorder="1" applyAlignment="1">
      <alignment horizontal="center" vertical="top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194" fontId="8" fillId="0" borderId="16" xfId="41" applyFont="1" applyBorder="1" applyAlignment="1">
      <alignment horizontal="center"/>
    </xf>
    <xf numFmtId="205" fontId="5" fillId="0" borderId="12" xfId="41" applyNumberFormat="1" applyFont="1" applyBorder="1" applyAlignment="1">
      <alignment/>
    </xf>
    <xf numFmtId="205" fontId="5" fillId="0" borderId="0" xfId="0" applyNumberFormat="1" applyFont="1" applyAlignment="1">
      <alignment/>
    </xf>
    <xf numFmtId="205" fontId="5" fillId="0" borderId="0" xfId="41" applyNumberFormat="1" applyFont="1" applyAlignment="1">
      <alignment/>
    </xf>
    <xf numFmtId="205" fontId="8" fillId="0" borderId="12" xfId="41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18" xfId="0" applyFont="1" applyBorder="1" applyAlignment="1">
      <alignment vertical="top"/>
    </xf>
    <xf numFmtId="4" fontId="9" fillId="0" borderId="13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10" xfId="0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194" fontId="5" fillId="0" borderId="14" xfId="41" applyNumberFormat="1" applyFont="1" applyBorder="1" applyAlignment="1">
      <alignment/>
    </xf>
    <xf numFmtId="0" fontId="17" fillId="0" borderId="0" xfId="0" applyFont="1" applyAlignment="1">
      <alignment horizontal="center"/>
    </xf>
    <xf numFmtId="43" fontId="8" fillId="0" borderId="0" xfId="0" applyNumberFormat="1" applyFont="1" applyBorder="1" applyAlignment="1">
      <alignment/>
    </xf>
    <xf numFmtId="205" fontId="15" fillId="0" borderId="12" xfId="41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8" fillId="0" borderId="22" xfId="0" applyFont="1" applyBorder="1" applyAlignment="1">
      <alignment/>
    </xf>
    <xf numFmtId="0" fontId="13" fillId="0" borderId="23" xfId="0" applyFont="1" applyBorder="1" applyAlignment="1">
      <alignment/>
    </xf>
    <xf numFmtId="194" fontId="5" fillId="0" borderId="13" xfId="4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3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94" fontId="16" fillId="0" borderId="0" xfId="41" applyFont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7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8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205" fontId="8" fillId="0" borderId="0" xfId="41" applyNumberFormat="1" applyFont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" xfId="36"/>
    <cellStyle name="Normal 2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6.57421875" style="6" customWidth="1"/>
    <col min="2" max="2" width="10.57421875" style="6" customWidth="1"/>
    <col min="3" max="3" width="15.7109375" style="6" customWidth="1"/>
    <col min="4" max="4" width="15.57421875" style="6" customWidth="1"/>
    <col min="5" max="5" width="9.140625" style="6" customWidth="1"/>
    <col min="6" max="6" width="31.28125" style="6" customWidth="1"/>
    <col min="7" max="9" width="9.140625" style="6" customWidth="1"/>
    <col min="10" max="10" width="9.7109375" style="6" bestFit="1" customWidth="1"/>
    <col min="11" max="11" width="9.28125" style="6" bestFit="1" customWidth="1"/>
    <col min="12" max="16384" width="9.140625" style="6" customWidth="1"/>
  </cols>
  <sheetData>
    <row r="1" spans="1:4" ht="40.5" customHeight="1">
      <c r="A1" s="508" t="s">
        <v>52</v>
      </c>
      <c r="B1" s="508"/>
      <c r="C1" s="508"/>
      <c r="D1" s="508"/>
    </row>
    <row r="2" spans="1:4" ht="27.75">
      <c r="A2" s="509" t="s">
        <v>680</v>
      </c>
      <c r="B2" s="509"/>
      <c r="C2" s="509"/>
      <c r="D2" s="509"/>
    </row>
    <row r="3" spans="1:4" ht="27.75">
      <c r="A3" s="510" t="s">
        <v>240</v>
      </c>
      <c r="B3" s="510"/>
      <c r="C3" s="510"/>
      <c r="D3" s="510"/>
    </row>
    <row r="4" spans="1:4" ht="27.75">
      <c r="A4" s="483"/>
      <c r="B4" s="483"/>
      <c r="C4" s="483"/>
      <c r="D4" s="483"/>
    </row>
    <row r="5" spans="1:4" s="247" customFormat="1" ht="27.75">
      <c r="A5" s="465" t="s">
        <v>4</v>
      </c>
      <c r="B5" s="465" t="s">
        <v>1</v>
      </c>
      <c r="C5" s="465" t="s">
        <v>5</v>
      </c>
      <c r="D5" s="465" t="s">
        <v>2</v>
      </c>
    </row>
    <row r="6" spans="1:11" ht="24">
      <c r="A6" s="499" t="s">
        <v>729</v>
      </c>
      <c r="B6" s="99" t="s">
        <v>230</v>
      </c>
      <c r="C6" s="100">
        <f>1621909.94+44237.75-89000+558958.8-89800+218494.6-89000+75551.37-89000+526671.6-89000+519743.22-89800+239524.01-90600+342341.17-91400+148294.4-91400+175379.88-91400-93000+434081-93000+358265.5</f>
        <v>4177053.2399999998</v>
      </c>
      <c r="D6" s="93"/>
      <c r="F6" s="85"/>
      <c r="G6" s="76"/>
      <c r="H6" s="76"/>
      <c r="I6" s="76"/>
      <c r="J6" s="76"/>
      <c r="K6" s="76"/>
    </row>
    <row r="7" spans="1:11" ht="24">
      <c r="A7" s="499" t="s">
        <v>725</v>
      </c>
      <c r="B7" s="99" t="s">
        <v>230</v>
      </c>
      <c r="C7" s="100">
        <f>501377.71+20957.63+1010.25+80000+20399+1184.62</f>
        <v>624929.2100000001</v>
      </c>
      <c r="D7" s="93"/>
      <c r="F7" s="85"/>
      <c r="G7" s="76"/>
      <c r="H7" s="76"/>
      <c r="I7" s="76"/>
      <c r="J7" s="76"/>
      <c r="K7" s="76"/>
    </row>
    <row r="8" spans="1:11" ht="24">
      <c r="A8" s="484" t="s">
        <v>726</v>
      </c>
      <c r="B8" s="99" t="s">
        <v>230</v>
      </c>
      <c r="C8" s="101">
        <f>12007435.4+5750281.95-1963674.76+4400624.87-6338233.15+1140490.45-3357049.74+10200+4770225.43-2470854.7+1797940.88-3086564.27+1151218.16-3280298.01+1964434.12-2908532.45-3000+2935575.11-2113025.66+2413635.43-3179229.66+1979754.08-2826970.43-180+3474544.28-1880321.14+4116571.49-5605954.41</f>
        <v>8899043.269999998</v>
      </c>
      <c r="D8" s="93"/>
      <c r="F8" s="86"/>
      <c r="G8" s="76"/>
      <c r="H8" s="76"/>
      <c r="I8" s="76"/>
      <c r="J8" s="76"/>
      <c r="K8" s="76"/>
    </row>
    <row r="9" spans="1:11" ht="24">
      <c r="A9" s="500" t="s">
        <v>693</v>
      </c>
      <c r="B9" s="99" t="s">
        <v>231</v>
      </c>
      <c r="C9" s="101">
        <f>847937.43+75959.94</f>
        <v>923897.3700000001</v>
      </c>
      <c r="D9" s="93"/>
      <c r="F9" s="86"/>
      <c r="G9" s="76"/>
      <c r="H9" s="76"/>
      <c r="I9" s="76"/>
      <c r="J9" s="76"/>
      <c r="K9" s="76"/>
    </row>
    <row r="10" spans="1:11" ht="24">
      <c r="A10" s="98" t="s">
        <v>694</v>
      </c>
      <c r="B10" s="99" t="s">
        <v>232</v>
      </c>
      <c r="C10" s="102">
        <f>498000+1495000+158000</f>
        <v>2151000</v>
      </c>
      <c r="D10" s="94"/>
      <c r="F10" s="76"/>
      <c r="G10" s="76"/>
      <c r="H10" s="76"/>
      <c r="I10" s="76"/>
      <c r="J10" s="76"/>
      <c r="K10" s="76"/>
    </row>
    <row r="11" spans="1:11" ht="24">
      <c r="A11" s="98" t="s">
        <v>695</v>
      </c>
      <c r="B11" s="99" t="s">
        <v>233</v>
      </c>
      <c r="C11" s="101">
        <v>10017</v>
      </c>
      <c r="D11" s="94"/>
      <c r="F11" s="76"/>
      <c r="G11" s="76"/>
      <c r="H11" s="76"/>
      <c r="I11" s="76"/>
      <c r="J11" s="76"/>
      <c r="K11" s="76"/>
    </row>
    <row r="12" spans="1:11" ht="24">
      <c r="A12" s="98" t="s">
        <v>696</v>
      </c>
      <c r="B12" s="99" t="s">
        <v>234</v>
      </c>
      <c r="C12" s="97">
        <v>177648.05</v>
      </c>
      <c r="D12" s="94"/>
      <c r="F12" s="76"/>
      <c r="G12" s="76"/>
      <c r="H12" s="76"/>
      <c r="I12" s="76"/>
      <c r="J12" s="76"/>
      <c r="K12" s="76"/>
    </row>
    <row r="13" spans="1:11" ht="24">
      <c r="A13" s="98" t="s">
        <v>697</v>
      </c>
      <c r="B13" s="99" t="s">
        <v>234</v>
      </c>
      <c r="C13" s="97">
        <v>350167</v>
      </c>
      <c r="D13" s="94"/>
      <c r="F13" s="76"/>
      <c r="G13" s="76"/>
      <c r="H13" s="76"/>
      <c r="I13" s="76"/>
      <c r="J13" s="76"/>
      <c r="K13" s="76"/>
    </row>
    <row r="14" spans="1:11" ht="24">
      <c r="A14" s="98" t="s">
        <v>698</v>
      </c>
      <c r="B14" s="99" t="s">
        <v>236</v>
      </c>
      <c r="C14" s="104">
        <v>0</v>
      </c>
      <c r="D14" s="105">
        <v>2759954.1</v>
      </c>
      <c r="E14" s="2"/>
      <c r="F14" s="76"/>
      <c r="G14" s="76"/>
      <c r="H14" s="76"/>
      <c r="I14" s="76"/>
      <c r="J14" s="76"/>
      <c r="K14" s="76"/>
    </row>
    <row r="15" spans="1:11" ht="24">
      <c r="A15" s="98" t="s">
        <v>699</v>
      </c>
      <c r="B15" s="99" t="s">
        <v>237</v>
      </c>
      <c r="C15" s="103">
        <v>0</v>
      </c>
      <c r="D15" s="97">
        <f>1188819.3+31153.58-18979.72+40571.46-21924.47+103591.65-47541.32+25866.89-22186.91+33593.54-22259.82+89314.48-57233.21+179881.58-42651.72</f>
        <v>1460015.31</v>
      </c>
      <c r="E15" s="2"/>
      <c r="F15" s="76"/>
      <c r="G15" s="76"/>
      <c r="H15" s="76"/>
      <c r="I15" s="76"/>
      <c r="J15" s="76"/>
      <c r="K15" s="76"/>
    </row>
    <row r="16" spans="1:13" ht="24">
      <c r="A16" s="98" t="s">
        <v>700</v>
      </c>
      <c r="B16" s="99" t="s">
        <v>238</v>
      </c>
      <c r="C16" s="103">
        <v>0</v>
      </c>
      <c r="D16" s="97">
        <f>3562934.19+1000+1000+1000+1000-266455+1000+1000-7500-18000-9600+1000-123407.6-3664+1000+1000+1000+1000+1000+3100949.84</f>
        <v>6247257.43</v>
      </c>
      <c r="E16" s="1"/>
      <c r="F16" s="5"/>
      <c r="G16" s="5"/>
      <c r="H16" s="5"/>
      <c r="I16" s="5"/>
      <c r="J16" s="5"/>
      <c r="K16" s="5"/>
      <c r="L16" s="1"/>
      <c r="M16" s="1"/>
    </row>
    <row r="17" spans="1:6" ht="24">
      <c r="A17" s="463" t="s">
        <v>701</v>
      </c>
      <c r="B17" s="464" t="s">
        <v>239</v>
      </c>
      <c r="C17" s="103">
        <v>0</v>
      </c>
      <c r="D17" s="97">
        <f>9143378.35-768000-477000-497000-497000-1091500+1033649.95</f>
        <v>6846528.3</v>
      </c>
      <c r="F17" s="87"/>
    </row>
    <row r="18" spans="1:6" ht="24.75" thickBot="1">
      <c r="A18" s="506" t="s">
        <v>14</v>
      </c>
      <c r="B18" s="507"/>
      <c r="C18" s="96">
        <f>SUM(C6:C17)</f>
        <v>17313755.14</v>
      </c>
      <c r="D18" s="96">
        <f>SUM(D6:D17)</f>
        <v>17313755.14</v>
      </c>
      <c r="F18" s="87"/>
    </row>
    <row r="19" spans="1:6" ht="28.5" thickTop="1">
      <c r="A19" s="88"/>
      <c r="B19" s="89"/>
      <c r="C19" s="90"/>
      <c r="D19" s="90"/>
      <c r="F19" s="87"/>
    </row>
    <row r="20" spans="1:6" ht="27.75">
      <c r="A20" s="439"/>
      <c r="B20" s="89"/>
      <c r="C20" s="90"/>
      <c r="D20" s="90"/>
      <c r="F20" s="87"/>
    </row>
    <row r="21" spans="2:4" ht="24">
      <c r="B21" s="91"/>
      <c r="C21" s="34"/>
      <c r="D21" s="34"/>
    </row>
    <row r="22" spans="1:4" ht="24">
      <c r="A22" s="34" t="s">
        <v>692</v>
      </c>
      <c r="B22" s="91"/>
      <c r="C22" s="34" t="s">
        <v>691</v>
      </c>
      <c r="D22" s="34"/>
    </row>
    <row r="23" spans="1:4" ht="24">
      <c r="A23" s="3" t="s">
        <v>728</v>
      </c>
      <c r="B23" s="91"/>
      <c r="C23" s="34" t="s">
        <v>72</v>
      </c>
      <c r="D23" s="34"/>
    </row>
    <row r="24" spans="1:4" ht="24">
      <c r="A24" s="6" t="s">
        <v>727</v>
      </c>
      <c r="B24" s="91"/>
      <c r="C24" s="34"/>
      <c r="D24" s="34"/>
    </row>
  </sheetData>
  <sheetProtection/>
  <mergeCells count="4">
    <mergeCell ref="A18:B18"/>
    <mergeCell ref="A1:D1"/>
    <mergeCell ref="A2:D2"/>
    <mergeCell ref="A3:D3"/>
  </mergeCells>
  <printOptions/>
  <pageMargins left="0.43" right="0.11" top="0.47" bottom="1" header="0.2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49">
      <selection activeCell="A33" sqref="A33:D33"/>
    </sheetView>
  </sheetViews>
  <sheetFormatPr defaultColWidth="9.140625" defaultRowHeight="12.75"/>
  <cols>
    <col min="1" max="1" width="32.8515625" style="29" customWidth="1"/>
    <col min="2" max="2" width="14.140625" style="29" customWidth="1"/>
    <col min="3" max="3" width="16.7109375" style="29" customWidth="1"/>
    <col min="4" max="4" width="17.00390625" style="29" customWidth="1"/>
    <col min="5" max="5" width="15.28125" style="6" customWidth="1"/>
    <col min="6" max="16384" width="9.140625" style="29" customWidth="1"/>
  </cols>
  <sheetData>
    <row r="1" spans="1:5" s="6" customFormat="1" ht="24">
      <c r="A1" s="513" t="s">
        <v>498</v>
      </c>
      <c r="B1" s="513"/>
      <c r="C1" s="513"/>
      <c r="D1" s="513"/>
      <c r="E1" s="513"/>
    </row>
    <row r="2" spans="1:5" s="6" customFormat="1" ht="24">
      <c r="A2" s="513" t="s">
        <v>137</v>
      </c>
      <c r="B2" s="513"/>
      <c r="C2" s="513"/>
      <c r="D2" s="513"/>
      <c r="E2" s="513"/>
    </row>
    <row r="3" spans="1:5" s="6" customFormat="1" ht="24">
      <c r="A3" s="513" t="s">
        <v>508</v>
      </c>
      <c r="B3" s="513"/>
      <c r="C3" s="513"/>
      <c r="D3" s="513"/>
      <c r="E3" s="513"/>
    </row>
    <row r="4" spans="1:4" s="6" customFormat="1" ht="24">
      <c r="A4" s="550" t="s">
        <v>509</v>
      </c>
      <c r="B4" s="550"/>
      <c r="C4" s="550"/>
      <c r="D4" s="550"/>
    </row>
    <row r="5" spans="1:5" ht="27.75">
      <c r="A5" s="6"/>
      <c r="B5" s="6"/>
      <c r="C5" s="183"/>
      <c r="D5" s="6"/>
      <c r="E5" s="339"/>
    </row>
    <row r="6" spans="1:6" ht="24" customHeight="1">
      <c r="A6" s="524" t="s">
        <v>499</v>
      </c>
      <c r="B6" s="524"/>
      <c r="C6" s="524"/>
      <c r="D6" s="524"/>
      <c r="E6" s="183">
        <v>498000</v>
      </c>
      <c r="F6" s="340"/>
    </row>
    <row r="7" spans="1:6" ht="24" customHeight="1">
      <c r="A7" s="6" t="s">
        <v>500</v>
      </c>
      <c r="B7" s="6"/>
      <c r="C7" s="183"/>
      <c r="D7" s="341"/>
      <c r="E7" s="183">
        <v>1495000</v>
      </c>
      <c r="F7" s="340"/>
    </row>
    <row r="8" spans="1:6" ht="24" customHeight="1">
      <c r="A8" s="6" t="s">
        <v>501</v>
      </c>
      <c r="B8" s="342"/>
      <c r="C8" s="343"/>
      <c r="D8" s="341"/>
      <c r="E8" s="344">
        <v>158000</v>
      </c>
      <c r="F8" s="340"/>
    </row>
    <row r="9" spans="1:6" ht="24" customHeight="1">
      <c r="A9" s="345"/>
      <c r="B9" s="342"/>
      <c r="C9" s="343"/>
      <c r="D9" s="346"/>
      <c r="E9" s="347"/>
      <c r="F9" s="340"/>
    </row>
    <row r="10" spans="1:6" ht="24" customHeight="1" thickBot="1">
      <c r="A10" s="342"/>
      <c r="B10" s="348" t="s">
        <v>14</v>
      </c>
      <c r="C10" s="343"/>
      <c r="D10" s="349"/>
      <c r="E10" s="350">
        <f>SUM(E6:E9)</f>
        <v>2151000</v>
      </c>
      <c r="F10" s="340"/>
    </row>
    <row r="11" spans="1:6" ht="24" customHeight="1" thickTop="1">
      <c r="A11" s="192"/>
      <c r="C11" s="351"/>
      <c r="F11" s="340"/>
    </row>
    <row r="12" spans="1:6" ht="27.75">
      <c r="A12" s="550" t="s">
        <v>510</v>
      </c>
      <c r="B12" s="550"/>
      <c r="C12" s="550"/>
      <c r="D12" s="550"/>
      <c r="F12" s="340"/>
    </row>
    <row r="13" spans="1:4" ht="27.75">
      <c r="A13" s="352"/>
      <c r="B13" s="352"/>
      <c r="C13" s="352"/>
      <c r="D13" s="352"/>
    </row>
    <row r="14" spans="1:5" ht="27.75">
      <c r="A14" s="545" t="s">
        <v>502</v>
      </c>
      <c r="B14" s="506"/>
      <c r="C14" s="35" t="s">
        <v>503</v>
      </c>
      <c r="D14" s="354" t="s">
        <v>504</v>
      </c>
      <c r="E14" s="354" t="s">
        <v>15</v>
      </c>
    </row>
    <row r="15" spans="1:5" ht="27.75">
      <c r="A15" s="546" t="s">
        <v>505</v>
      </c>
      <c r="B15" s="547"/>
      <c r="C15" s="38">
        <v>2560</v>
      </c>
      <c r="D15" s="355">
        <v>3</v>
      </c>
      <c r="E15" s="67">
        <v>10017</v>
      </c>
    </row>
    <row r="16" spans="1:5" ht="27.75">
      <c r="A16" s="356"/>
      <c r="B16" s="76"/>
      <c r="C16" s="67"/>
      <c r="D16" s="38"/>
      <c r="E16" s="36"/>
    </row>
    <row r="17" spans="1:5" ht="27.75">
      <c r="A17" s="356"/>
      <c r="B17" s="47"/>
      <c r="C17" s="67"/>
      <c r="D17" s="357"/>
      <c r="E17" s="36"/>
    </row>
    <row r="18" spans="1:5" ht="28.5">
      <c r="A18" s="358"/>
      <c r="B18" s="359"/>
      <c r="C18" s="360"/>
      <c r="D18" s="361"/>
      <c r="E18" s="37"/>
    </row>
    <row r="19" spans="1:5" ht="27.75">
      <c r="A19" s="362" t="s">
        <v>14</v>
      </c>
      <c r="B19" s="363"/>
      <c r="C19" s="364"/>
      <c r="D19" s="365">
        <v>3</v>
      </c>
      <c r="E19" s="366">
        <f>SUM(E15:E18)</f>
        <v>10017</v>
      </c>
    </row>
    <row r="20" spans="1:5" ht="27.75">
      <c r="A20" s="353" t="s">
        <v>506</v>
      </c>
      <c r="B20" s="367"/>
      <c r="C20" s="364"/>
      <c r="D20" s="368">
        <v>3</v>
      </c>
      <c r="E20" s="369">
        <f>SUM(E16:E19)</f>
        <v>10017</v>
      </c>
    </row>
    <row r="21" spans="2:5" ht="27.75">
      <c r="B21" s="370"/>
      <c r="C21" s="371"/>
      <c r="D21" s="372"/>
      <c r="E21" s="76"/>
    </row>
    <row r="22" spans="1:5" ht="27.75">
      <c r="A22" s="373" t="s">
        <v>511</v>
      </c>
      <c r="B22" s="192"/>
      <c r="C22" s="192"/>
      <c r="D22" s="192"/>
      <c r="E22" s="370"/>
    </row>
    <row r="23" spans="1:5" ht="27.75">
      <c r="A23" s="81" t="s">
        <v>512</v>
      </c>
      <c r="B23" s="50"/>
      <c r="C23" s="50"/>
      <c r="D23" s="347">
        <v>350167</v>
      </c>
      <c r="E23" s="373" t="s">
        <v>29</v>
      </c>
    </row>
    <row r="24" spans="1:5" s="342" customFormat="1" ht="26.25">
      <c r="A24" s="81" t="s">
        <v>507</v>
      </c>
      <c r="B24" s="50"/>
      <c r="C24" s="50"/>
      <c r="D24" s="382">
        <v>177648.05</v>
      </c>
      <c r="E24" s="373" t="s">
        <v>29</v>
      </c>
    </row>
    <row r="25" spans="1:5" s="342" customFormat="1" ht="27" thickBot="1">
      <c r="A25" s="513" t="s">
        <v>14</v>
      </c>
      <c r="B25" s="513"/>
      <c r="C25" s="513"/>
      <c r="D25" s="374">
        <f>SUM(D23:D24)</f>
        <v>527815.05</v>
      </c>
      <c r="E25" s="373" t="s">
        <v>29</v>
      </c>
    </row>
    <row r="26" spans="1:5" s="342" customFormat="1" ht="28.5" thickTop="1">
      <c r="A26" s="375"/>
      <c r="B26" s="29"/>
      <c r="C26" s="341"/>
      <c r="D26" s="29"/>
      <c r="E26" s="370"/>
    </row>
    <row r="27" spans="1:5" s="342" customFormat="1" ht="27.75">
      <c r="A27" s="375"/>
      <c r="B27" s="29"/>
      <c r="C27" s="341"/>
      <c r="D27" s="29"/>
      <c r="E27" s="370"/>
    </row>
    <row r="28" spans="1:5" s="342" customFormat="1" ht="27.75">
      <c r="A28" s="375"/>
      <c r="B28" s="29"/>
      <c r="C28" s="341"/>
      <c r="D28" s="29"/>
      <c r="E28" s="370"/>
    </row>
    <row r="29" spans="1:5" s="342" customFormat="1" ht="27.75" customHeight="1">
      <c r="A29" s="548" t="s">
        <v>498</v>
      </c>
      <c r="B29" s="548"/>
      <c r="C29" s="548"/>
      <c r="D29" s="548"/>
      <c r="E29" s="548"/>
    </row>
    <row r="30" spans="1:5" s="342" customFormat="1" ht="27.75" customHeight="1">
      <c r="A30" s="548" t="s">
        <v>137</v>
      </c>
      <c r="B30" s="548"/>
      <c r="C30" s="548"/>
      <c r="D30" s="548"/>
      <c r="E30" s="548"/>
    </row>
    <row r="31" spans="1:5" s="342" customFormat="1" ht="27.75" customHeight="1">
      <c r="A31" s="548" t="s">
        <v>508</v>
      </c>
      <c r="B31" s="548"/>
      <c r="C31" s="548"/>
      <c r="D31" s="548"/>
      <c r="E31" s="548"/>
    </row>
    <row r="32" spans="1:5" s="342" customFormat="1" ht="27.75">
      <c r="A32" s="192"/>
      <c r="B32" s="192"/>
      <c r="C32" s="192"/>
      <c r="D32" s="192"/>
      <c r="E32" s="192"/>
    </row>
    <row r="33" spans="1:5" s="342" customFormat="1" ht="26.25">
      <c r="A33" s="549" t="s">
        <v>598</v>
      </c>
      <c r="B33" s="549"/>
      <c r="C33" s="549"/>
      <c r="D33" s="549"/>
      <c r="E33" s="6"/>
    </row>
    <row r="34" spans="1:5" s="342" customFormat="1" ht="27.75">
      <c r="A34" s="376"/>
      <c r="B34" s="376"/>
      <c r="C34" s="376"/>
      <c r="D34" s="377" t="s">
        <v>15</v>
      </c>
      <c r="E34" s="29"/>
    </row>
    <row r="35" spans="1:5" s="6" customFormat="1" ht="24">
      <c r="A35" s="378" t="s">
        <v>688</v>
      </c>
      <c r="C35" s="183"/>
      <c r="D35" s="183">
        <v>353455</v>
      </c>
      <c r="E35" s="373" t="s">
        <v>29</v>
      </c>
    </row>
    <row r="36" spans="1:5" s="6" customFormat="1" ht="24">
      <c r="A36" s="379" t="s">
        <v>42</v>
      </c>
      <c r="C36" s="183"/>
      <c r="D36" s="183">
        <v>9537.72</v>
      </c>
      <c r="E36" s="373" t="s">
        <v>29</v>
      </c>
    </row>
    <row r="37" spans="1:5" s="6" customFormat="1" ht="24">
      <c r="A37" s="379" t="s">
        <v>43</v>
      </c>
      <c r="C37" s="183"/>
      <c r="D37" s="183">
        <v>5150.41</v>
      </c>
      <c r="E37" s="373" t="s">
        <v>29</v>
      </c>
    </row>
    <row r="38" spans="1:5" s="6" customFormat="1" ht="24">
      <c r="A38" s="379" t="s">
        <v>44</v>
      </c>
      <c r="C38" s="183"/>
      <c r="D38" s="183">
        <v>34294.97</v>
      </c>
      <c r="E38" s="373" t="s">
        <v>29</v>
      </c>
    </row>
    <row r="39" spans="1:5" s="6" customFormat="1" ht="24">
      <c r="A39" s="379" t="s">
        <v>707</v>
      </c>
      <c r="C39" s="380"/>
      <c r="D39" s="380">
        <v>624929.21</v>
      </c>
      <c r="E39" s="373" t="s">
        <v>29</v>
      </c>
    </row>
    <row r="40" spans="1:5" s="6" customFormat="1" ht="24">
      <c r="A40" s="47" t="s">
        <v>706</v>
      </c>
      <c r="C40" s="380"/>
      <c r="D40" s="380">
        <v>320476</v>
      </c>
      <c r="E40" s="373" t="s">
        <v>29</v>
      </c>
    </row>
    <row r="41" spans="1:5" s="6" customFormat="1" ht="24">
      <c r="A41" s="6" t="s">
        <v>686</v>
      </c>
      <c r="C41" s="183"/>
      <c r="D41" s="183">
        <v>58422</v>
      </c>
      <c r="E41" s="373" t="s">
        <v>29</v>
      </c>
    </row>
    <row r="42" spans="1:5" s="6" customFormat="1" ht="24">
      <c r="A42" s="6" t="s">
        <v>687</v>
      </c>
      <c r="C42" s="183"/>
      <c r="D42" s="183">
        <v>53750</v>
      </c>
      <c r="E42" s="373" t="s">
        <v>29</v>
      </c>
    </row>
    <row r="43" spans="1:5" s="6" customFormat="1" ht="24.75" thickBot="1">
      <c r="A43" s="513" t="s">
        <v>14</v>
      </c>
      <c r="B43" s="513"/>
      <c r="C43" s="513"/>
      <c r="D43" s="381">
        <f>SUM(D35:D42)</f>
        <v>1460015.31</v>
      </c>
      <c r="E43" s="373" t="s">
        <v>29</v>
      </c>
    </row>
    <row r="44" spans="3:5" ht="28.5" thickTop="1">
      <c r="C44" s="371"/>
      <c r="E44" s="29"/>
    </row>
    <row r="45" spans="1:5" ht="27.75">
      <c r="A45" s="192"/>
      <c r="C45" s="351"/>
      <c r="E45" s="29"/>
    </row>
    <row r="52" ht="24.75" customHeight="1"/>
    <row r="105" s="370" customFormat="1" ht="27.75">
      <c r="E105" s="76"/>
    </row>
    <row r="106" s="370" customFormat="1" ht="27.75">
      <c r="E106" s="76"/>
    </row>
    <row r="107" s="370" customFormat="1" ht="27.75">
      <c r="E107" s="76"/>
    </row>
  </sheetData>
  <sheetProtection/>
  <mergeCells count="14">
    <mergeCell ref="A1:E1"/>
    <mergeCell ref="A2:E2"/>
    <mergeCell ref="A3:E3"/>
    <mergeCell ref="A4:D4"/>
    <mergeCell ref="A6:D6"/>
    <mergeCell ref="A12:D12"/>
    <mergeCell ref="A25:C25"/>
    <mergeCell ref="A43:C43"/>
    <mergeCell ref="A14:B14"/>
    <mergeCell ref="A15:B15"/>
    <mergeCell ref="A29:E29"/>
    <mergeCell ref="A30:E30"/>
    <mergeCell ref="A31:E31"/>
    <mergeCell ref="A33:D33"/>
  </mergeCells>
  <printOptions/>
  <pageMargins left="0.52" right="0.24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C101" sqref="C101"/>
    </sheetView>
  </sheetViews>
  <sheetFormatPr defaultColWidth="9.140625" defaultRowHeight="12.75"/>
  <cols>
    <col min="1" max="1" width="11.28125" style="29" customWidth="1"/>
    <col min="2" max="2" width="9.28125" style="29" customWidth="1"/>
    <col min="3" max="3" width="14.57421875" style="29" customWidth="1"/>
    <col min="4" max="4" width="10.00390625" style="29" customWidth="1"/>
    <col min="5" max="5" width="14.7109375" style="29" customWidth="1"/>
    <col min="6" max="6" width="25.7109375" style="29" customWidth="1"/>
    <col min="7" max="7" width="11.421875" style="9" customWidth="1"/>
    <col min="8" max="8" width="3.421875" style="29" customWidth="1"/>
    <col min="11" max="11" width="15.421875" style="0" customWidth="1"/>
  </cols>
  <sheetData>
    <row r="1" spans="1:8" ht="24">
      <c r="A1" s="513" t="s">
        <v>498</v>
      </c>
      <c r="B1" s="513"/>
      <c r="C1" s="513"/>
      <c r="D1" s="513"/>
      <c r="E1" s="513"/>
      <c r="F1" s="513"/>
      <c r="G1" s="513"/>
      <c r="H1" s="513"/>
    </row>
    <row r="2" spans="1:8" ht="24">
      <c r="A2" s="513" t="s">
        <v>137</v>
      </c>
      <c r="B2" s="513"/>
      <c r="C2" s="513"/>
      <c r="D2" s="513"/>
      <c r="E2" s="513"/>
      <c r="F2" s="513"/>
      <c r="G2" s="513"/>
      <c r="H2" s="513"/>
    </row>
    <row r="3" spans="1:8" ht="24">
      <c r="A3" s="513" t="s">
        <v>508</v>
      </c>
      <c r="B3" s="513"/>
      <c r="C3" s="513"/>
      <c r="D3" s="513"/>
      <c r="E3" s="513"/>
      <c r="F3" s="513"/>
      <c r="G3" s="513"/>
      <c r="H3" s="513"/>
    </row>
    <row r="4" spans="1:5" ht="27.75">
      <c r="A4" s="550" t="s">
        <v>597</v>
      </c>
      <c r="B4" s="550"/>
      <c r="C4" s="550"/>
      <c r="D4" s="550"/>
      <c r="E4" s="550"/>
    </row>
    <row r="5" spans="1:8" ht="24">
      <c r="A5" s="206" t="s">
        <v>513</v>
      </c>
      <c r="B5" s="35" t="s">
        <v>514</v>
      </c>
      <c r="C5" s="354" t="s">
        <v>515</v>
      </c>
      <c r="D5" s="354" t="s">
        <v>516</v>
      </c>
      <c r="E5" s="35" t="s">
        <v>517</v>
      </c>
      <c r="F5" s="35" t="s">
        <v>518</v>
      </c>
      <c r="G5" s="545" t="s">
        <v>15</v>
      </c>
      <c r="H5" s="545"/>
    </row>
    <row r="6" spans="1:8" ht="24">
      <c r="A6" s="207" t="s">
        <v>121</v>
      </c>
      <c r="B6" s="207" t="s">
        <v>519</v>
      </c>
      <c r="C6" s="383" t="s">
        <v>520</v>
      </c>
      <c r="D6" s="384" t="s">
        <v>7</v>
      </c>
      <c r="E6" s="385" t="s">
        <v>521</v>
      </c>
      <c r="F6" s="386" t="s">
        <v>522</v>
      </c>
      <c r="G6" s="387">
        <v>9000</v>
      </c>
      <c r="H6" s="207" t="s">
        <v>6</v>
      </c>
    </row>
    <row r="7" spans="1:8" ht="24">
      <c r="A7" s="211"/>
      <c r="B7" s="38" t="s">
        <v>523</v>
      </c>
      <c r="C7" s="388"/>
      <c r="D7" s="389"/>
      <c r="E7" s="209" t="s">
        <v>524</v>
      </c>
      <c r="F7" s="208" t="s">
        <v>525</v>
      </c>
      <c r="G7" s="208"/>
      <c r="H7" s="211"/>
    </row>
    <row r="8" spans="1:8" ht="24">
      <c r="A8" s="390"/>
      <c r="B8" s="390"/>
      <c r="C8" s="391"/>
      <c r="D8" s="392"/>
      <c r="E8" s="390"/>
      <c r="F8" s="393" t="s">
        <v>526</v>
      </c>
      <c r="G8" s="393"/>
      <c r="H8" s="390"/>
    </row>
    <row r="9" spans="1:8" ht="24">
      <c r="A9" s="211" t="s">
        <v>121</v>
      </c>
      <c r="B9" s="211" t="s">
        <v>519</v>
      </c>
      <c r="C9" s="388" t="s">
        <v>520</v>
      </c>
      <c r="D9" s="389" t="s">
        <v>7</v>
      </c>
      <c r="E9" s="209" t="s">
        <v>521</v>
      </c>
      <c r="F9" s="208" t="s">
        <v>522</v>
      </c>
      <c r="G9" s="394">
        <v>9000</v>
      </c>
      <c r="H9" s="211" t="s">
        <v>6</v>
      </c>
    </row>
    <row r="10" spans="1:8" ht="24">
      <c r="A10" s="211"/>
      <c r="B10" s="211" t="s">
        <v>523</v>
      </c>
      <c r="C10" s="388"/>
      <c r="D10" s="389"/>
      <c r="E10" s="209" t="s">
        <v>524</v>
      </c>
      <c r="F10" s="208" t="s">
        <v>525</v>
      </c>
      <c r="G10" s="208"/>
      <c r="H10" s="211"/>
    </row>
    <row r="11" spans="1:8" ht="24">
      <c r="A11" s="390"/>
      <c r="B11" s="390"/>
      <c r="C11" s="391"/>
      <c r="D11" s="392"/>
      <c r="E11" s="395"/>
      <c r="F11" s="393" t="s">
        <v>526</v>
      </c>
      <c r="G11" s="393"/>
      <c r="H11" s="390"/>
    </row>
    <row r="12" spans="1:8" ht="24">
      <c r="A12" s="211" t="s">
        <v>121</v>
      </c>
      <c r="B12" s="211" t="s">
        <v>527</v>
      </c>
      <c r="C12" s="396" t="s">
        <v>528</v>
      </c>
      <c r="D12" s="389" t="s">
        <v>7</v>
      </c>
      <c r="E12" s="209" t="s">
        <v>529</v>
      </c>
      <c r="F12" s="208" t="s">
        <v>530</v>
      </c>
      <c r="G12" s="394">
        <v>13000</v>
      </c>
      <c r="H12" s="211" t="s">
        <v>6</v>
      </c>
    </row>
    <row r="13" spans="1:8" ht="24">
      <c r="A13" s="211"/>
      <c r="B13" s="208"/>
      <c r="C13" s="396" t="s">
        <v>531</v>
      </c>
      <c r="D13" s="389"/>
      <c r="E13" s="209" t="s">
        <v>532</v>
      </c>
      <c r="F13" s="208" t="s">
        <v>533</v>
      </c>
      <c r="G13" s="208"/>
      <c r="H13" s="211"/>
    </row>
    <row r="14" spans="1:8" ht="24">
      <c r="A14" s="211"/>
      <c r="B14" s="208"/>
      <c r="C14" s="396" t="s">
        <v>534</v>
      </c>
      <c r="D14" s="389"/>
      <c r="E14" s="209" t="s">
        <v>535</v>
      </c>
      <c r="F14" s="208"/>
      <c r="G14" s="208"/>
      <c r="H14" s="211"/>
    </row>
    <row r="15" spans="1:8" ht="24">
      <c r="A15" s="36"/>
      <c r="B15" s="36"/>
      <c r="C15" s="67"/>
      <c r="D15" s="397"/>
      <c r="E15" s="45" t="s">
        <v>536</v>
      </c>
      <c r="F15" s="36"/>
      <c r="G15" s="36"/>
      <c r="H15" s="38"/>
    </row>
    <row r="16" spans="1:8" ht="24">
      <c r="A16" s="398"/>
      <c r="B16" s="398"/>
      <c r="C16" s="399"/>
      <c r="D16" s="400"/>
      <c r="E16" s="401" t="s">
        <v>537</v>
      </c>
      <c r="F16" s="398"/>
      <c r="G16" s="398"/>
      <c r="H16" s="400"/>
    </row>
    <row r="17" spans="1:8" ht="24">
      <c r="A17" s="211" t="s">
        <v>121</v>
      </c>
      <c r="B17" s="211" t="s">
        <v>519</v>
      </c>
      <c r="C17" s="67" t="s">
        <v>538</v>
      </c>
      <c r="D17" s="38" t="s">
        <v>46</v>
      </c>
      <c r="E17" s="36" t="s">
        <v>46</v>
      </c>
      <c r="F17" s="36" t="s">
        <v>539</v>
      </c>
      <c r="G17" s="402">
        <v>138000</v>
      </c>
      <c r="H17" s="38" t="s">
        <v>6</v>
      </c>
    </row>
    <row r="18" spans="1:8" ht="24">
      <c r="A18" s="403"/>
      <c r="B18" s="211" t="s">
        <v>523</v>
      </c>
      <c r="C18" s="67" t="s">
        <v>540</v>
      </c>
      <c r="D18" s="38"/>
      <c r="E18" s="36" t="s">
        <v>541</v>
      </c>
      <c r="F18" s="36" t="s">
        <v>542</v>
      </c>
      <c r="G18" s="36"/>
      <c r="H18" s="38"/>
    </row>
    <row r="19" spans="1:8" ht="24">
      <c r="A19" s="404"/>
      <c r="B19" s="398"/>
      <c r="C19" s="399" t="s">
        <v>543</v>
      </c>
      <c r="D19" s="400"/>
      <c r="E19" s="398"/>
      <c r="F19" s="398"/>
      <c r="G19" s="398"/>
      <c r="H19" s="400"/>
    </row>
    <row r="20" spans="1:8" ht="24">
      <c r="A20" s="211" t="s">
        <v>121</v>
      </c>
      <c r="B20" s="211" t="s">
        <v>519</v>
      </c>
      <c r="C20" s="67" t="s">
        <v>520</v>
      </c>
      <c r="D20" s="38" t="s">
        <v>8</v>
      </c>
      <c r="E20" s="36" t="s">
        <v>544</v>
      </c>
      <c r="F20" s="36" t="s">
        <v>545</v>
      </c>
      <c r="G20" s="402">
        <v>45054</v>
      </c>
      <c r="H20" s="38">
        <v>10</v>
      </c>
    </row>
    <row r="21" spans="1:8" ht="24">
      <c r="A21" s="404"/>
      <c r="B21" s="390" t="s">
        <v>523</v>
      </c>
      <c r="C21" s="399"/>
      <c r="D21" s="400"/>
      <c r="E21" s="398" t="s">
        <v>546</v>
      </c>
      <c r="F21" s="398"/>
      <c r="G21" s="398"/>
      <c r="H21" s="400"/>
    </row>
    <row r="22" spans="1:8" ht="24">
      <c r="A22" s="405" t="s">
        <v>121</v>
      </c>
      <c r="B22" s="36" t="s">
        <v>519</v>
      </c>
      <c r="C22" s="67" t="s">
        <v>520</v>
      </c>
      <c r="D22" s="38" t="s">
        <v>8</v>
      </c>
      <c r="E22" s="36" t="s">
        <v>547</v>
      </c>
      <c r="F22" s="36" t="s">
        <v>548</v>
      </c>
      <c r="G22" s="36">
        <v>600</v>
      </c>
      <c r="H22" s="38" t="s">
        <v>6</v>
      </c>
    </row>
    <row r="23" spans="1:8" ht="24">
      <c r="A23" s="401"/>
      <c r="B23" s="398" t="s">
        <v>523</v>
      </c>
      <c r="C23" s="399"/>
      <c r="D23" s="400"/>
      <c r="E23" s="398"/>
      <c r="F23" s="398" t="s">
        <v>533</v>
      </c>
      <c r="G23" s="398"/>
      <c r="H23" s="400"/>
    </row>
    <row r="24" spans="1:8" ht="24">
      <c r="A24" s="36" t="s">
        <v>121</v>
      </c>
      <c r="B24" s="36" t="s">
        <v>519</v>
      </c>
      <c r="C24" s="36" t="s">
        <v>520</v>
      </c>
      <c r="D24" s="38" t="s">
        <v>10</v>
      </c>
      <c r="E24" s="36" t="s">
        <v>46</v>
      </c>
      <c r="F24" s="36" t="s">
        <v>549</v>
      </c>
      <c r="G24" s="402">
        <v>46700</v>
      </c>
      <c r="H24" s="38" t="s">
        <v>6</v>
      </c>
    </row>
    <row r="25" spans="1:8" ht="24">
      <c r="A25" s="398"/>
      <c r="B25" s="398" t="s">
        <v>523</v>
      </c>
      <c r="C25" s="398"/>
      <c r="D25" s="406"/>
      <c r="E25" s="398" t="s">
        <v>550</v>
      </c>
      <c r="F25" s="398"/>
      <c r="G25" s="398"/>
      <c r="H25" s="400"/>
    </row>
    <row r="26" spans="1:8" ht="24">
      <c r="A26" s="407" t="s">
        <v>121</v>
      </c>
      <c r="B26" s="407" t="s">
        <v>519</v>
      </c>
      <c r="C26" s="407" t="s">
        <v>520</v>
      </c>
      <c r="D26" s="408" t="s">
        <v>7</v>
      </c>
      <c r="E26" s="209" t="s">
        <v>521</v>
      </c>
      <c r="F26" s="36" t="s">
        <v>551</v>
      </c>
      <c r="G26" s="402">
        <v>40600</v>
      </c>
      <c r="H26" s="38" t="s">
        <v>6</v>
      </c>
    </row>
    <row r="27" spans="1:8" ht="24">
      <c r="A27" s="36"/>
      <c r="B27" s="36" t="s">
        <v>523</v>
      </c>
      <c r="C27" s="36"/>
      <c r="D27" s="408"/>
      <c r="E27" s="209" t="s">
        <v>524</v>
      </c>
      <c r="F27" s="36" t="s">
        <v>552</v>
      </c>
      <c r="G27" s="36"/>
      <c r="H27" s="38"/>
    </row>
    <row r="28" spans="1:8" ht="24">
      <c r="A28" s="36"/>
      <c r="B28" s="36"/>
      <c r="C28" s="36"/>
      <c r="D28" s="408"/>
      <c r="E28" s="45"/>
      <c r="F28" s="36" t="s">
        <v>553</v>
      </c>
      <c r="G28" s="36"/>
      <c r="H28" s="38"/>
    </row>
    <row r="29" spans="1:8" ht="24">
      <c r="A29" s="37"/>
      <c r="B29" s="37"/>
      <c r="C29" s="37"/>
      <c r="D29" s="409"/>
      <c r="E29" s="37"/>
      <c r="F29" s="37" t="s">
        <v>554</v>
      </c>
      <c r="G29" s="37"/>
      <c r="H29" s="39"/>
    </row>
    <row r="30" spans="1:8" ht="24">
      <c r="A30" s="76"/>
      <c r="B30" s="76"/>
      <c r="C30" s="76"/>
      <c r="D30" s="40"/>
      <c r="E30" s="76"/>
      <c r="F30" s="76"/>
      <c r="G30" s="76"/>
      <c r="H30" s="40"/>
    </row>
    <row r="31" spans="1:8" ht="24">
      <c r="A31" s="76"/>
      <c r="B31" s="76"/>
      <c r="C31" s="76"/>
      <c r="D31" s="76"/>
      <c r="E31" s="76"/>
      <c r="F31" s="76"/>
      <c r="G31" s="76"/>
      <c r="H31" s="40"/>
    </row>
    <row r="32" spans="1:8" ht="27.75">
      <c r="A32" s="550" t="s">
        <v>597</v>
      </c>
      <c r="B32" s="550"/>
      <c r="C32" s="550"/>
      <c r="D32" s="550"/>
      <c r="E32" s="550"/>
      <c r="G32" s="553" t="s">
        <v>274</v>
      </c>
      <c r="H32" s="553"/>
    </row>
    <row r="33" spans="1:8" ht="24">
      <c r="A33" s="206" t="s">
        <v>513</v>
      </c>
      <c r="B33" s="35" t="s">
        <v>514</v>
      </c>
      <c r="C33" s="354" t="s">
        <v>515</v>
      </c>
      <c r="D33" s="354" t="s">
        <v>516</v>
      </c>
      <c r="E33" s="35" t="s">
        <v>517</v>
      </c>
      <c r="F33" s="35" t="s">
        <v>518</v>
      </c>
      <c r="G33" s="545" t="s">
        <v>15</v>
      </c>
      <c r="H33" s="545"/>
    </row>
    <row r="34" spans="1:8" ht="24">
      <c r="A34" s="207" t="s">
        <v>121</v>
      </c>
      <c r="B34" s="207" t="s">
        <v>519</v>
      </c>
      <c r="C34" s="383" t="s">
        <v>555</v>
      </c>
      <c r="D34" s="384" t="s">
        <v>7</v>
      </c>
      <c r="E34" s="385" t="s">
        <v>521</v>
      </c>
      <c r="F34" s="386" t="s">
        <v>556</v>
      </c>
      <c r="G34" s="387">
        <v>7000</v>
      </c>
      <c r="H34" s="207" t="s">
        <v>6</v>
      </c>
    </row>
    <row r="35" spans="1:8" ht="24">
      <c r="A35" s="211"/>
      <c r="B35" s="38" t="s">
        <v>523</v>
      </c>
      <c r="C35" s="388"/>
      <c r="D35" s="389"/>
      <c r="E35" s="209" t="s">
        <v>524</v>
      </c>
      <c r="F35" s="208" t="s">
        <v>557</v>
      </c>
      <c r="G35" s="208"/>
      <c r="H35" s="410"/>
    </row>
    <row r="36" spans="1:8" ht="24">
      <c r="A36" s="390"/>
      <c r="B36" s="390"/>
      <c r="C36" s="388"/>
      <c r="D36" s="392"/>
      <c r="E36" s="395"/>
      <c r="F36" s="393" t="s">
        <v>558</v>
      </c>
      <c r="G36" s="393"/>
      <c r="H36" s="411"/>
    </row>
    <row r="37" spans="1:8" ht="24">
      <c r="A37" s="407" t="s">
        <v>121</v>
      </c>
      <c r="B37" s="36" t="s">
        <v>519</v>
      </c>
      <c r="C37" s="412" t="s">
        <v>555</v>
      </c>
      <c r="D37" s="38" t="s">
        <v>10</v>
      </c>
      <c r="E37" s="45" t="s">
        <v>46</v>
      </c>
      <c r="F37" s="36" t="s">
        <v>549</v>
      </c>
      <c r="G37" s="402">
        <v>53800</v>
      </c>
      <c r="H37" s="38" t="s">
        <v>6</v>
      </c>
    </row>
    <row r="38" spans="1:8" ht="24">
      <c r="A38" s="398"/>
      <c r="B38" s="398" t="s">
        <v>523</v>
      </c>
      <c r="C38" s="398"/>
      <c r="D38" s="406"/>
      <c r="E38" s="401" t="s">
        <v>550</v>
      </c>
      <c r="F38" s="398"/>
      <c r="G38" s="398"/>
      <c r="H38" s="398"/>
    </row>
    <row r="39" spans="1:8" ht="24">
      <c r="A39" s="413" t="s">
        <v>121</v>
      </c>
      <c r="B39" s="413" t="s">
        <v>559</v>
      </c>
      <c r="C39" s="412" t="s">
        <v>560</v>
      </c>
      <c r="D39" s="414" t="s">
        <v>7</v>
      </c>
      <c r="E39" s="415" t="s">
        <v>521</v>
      </c>
      <c r="F39" s="416" t="s">
        <v>561</v>
      </c>
      <c r="G39" s="417">
        <v>7000</v>
      </c>
      <c r="H39" s="211" t="s">
        <v>6</v>
      </c>
    </row>
    <row r="40" spans="1:8" ht="24">
      <c r="A40" s="211"/>
      <c r="B40" s="211" t="s">
        <v>562</v>
      </c>
      <c r="C40" s="396" t="s">
        <v>563</v>
      </c>
      <c r="D40" s="389"/>
      <c r="E40" s="209" t="s">
        <v>524</v>
      </c>
      <c r="F40" s="208" t="s">
        <v>564</v>
      </c>
      <c r="G40" s="417"/>
      <c r="H40" s="208"/>
    </row>
    <row r="41" spans="1:8" ht="24">
      <c r="A41" s="390"/>
      <c r="B41" s="393"/>
      <c r="C41" s="418" t="s">
        <v>565</v>
      </c>
      <c r="D41" s="392"/>
      <c r="E41" s="395"/>
      <c r="F41" s="393"/>
      <c r="G41" s="419"/>
      <c r="H41" s="393"/>
    </row>
    <row r="42" spans="1:8" ht="24">
      <c r="A42" s="413" t="s">
        <v>121</v>
      </c>
      <c r="B42" s="413" t="s">
        <v>559</v>
      </c>
      <c r="C42" s="412" t="s">
        <v>560</v>
      </c>
      <c r="D42" s="414" t="s">
        <v>7</v>
      </c>
      <c r="E42" s="415" t="s">
        <v>521</v>
      </c>
      <c r="F42" s="416" t="s">
        <v>561</v>
      </c>
      <c r="G42" s="417">
        <v>7000</v>
      </c>
      <c r="H42" s="211" t="s">
        <v>6</v>
      </c>
    </row>
    <row r="43" spans="1:8" ht="24">
      <c r="A43" s="211"/>
      <c r="B43" s="211" t="s">
        <v>562</v>
      </c>
      <c r="C43" s="396" t="s">
        <v>563</v>
      </c>
      <c r="D43" s="389"/>
      <c r="E43" s="209" t="s">
        <v>524</v>
      </c>
      <c r="F43" s="208" t="s">
        <v>564</v>
      </c>
      <c r="G43" s="417"/>
      <c r="H43" s="208"/>
    </row>
    <row r="44" spans="1:8" ht="24">
      <c r="A44" s="390"/>
      <c r="B44" s="393"/>
      <c r="C44" s="418" t="s">
        <v>565</v>
      </c>
      <c r="D44" s="392"/>
      <c r="E44" s="395"/>
      <c r="F44" s="393"/>
      <c r="G44" s="419"/>
      <c r="H44" s="393"/>
    </row>
    <row r="45" spans="1:8" ht="24">
      <c r="A45" s="413" t="s">
        <v>121</v>
      </c>
      <c r="B45" s="413" t="s">
        <v>559</v>
      </c>
      <c r="C45" s="67" t="s">
        <v>566</v>
      </c>
      <c r="D45" s="38" t="s">
        <v>8</v>
      </c>
      <c r="E45" s="45" t="s">
        <v>544</v>
      </c>
      <c r="F45" s="36" t="s">
        <v>545</v>
      </c>
      <c r="G45" s="402">
        <v>20000</v>
      </c>
      <c r="H45" s="211" t="s">
        <v>6</v>
      </c>
    </row>
    <row r="46" spans="1:8" ht="24">
      <c r="A46" s="211"/>
      <c r="B46" s="211" t="s">
        <v>562</v>
      </c>
      <c r="C46" s="67" t="s">
        <v>567</v>
      </c>
      <c r="D46" s="38"/>
      <c r="E46" s="45" t="s">
        <v>546</v>
      </c>
      <c r="F46" s="36" t="s">
        <v>533</v>
      </c>
      <c r="G46" s="36"/>
      <c r="H46" s="38"/>
    </row>
    <row r="47" spans="1:8" ht="24">
      <c r="A47" s="404"/>
      <c r="B47" s="398"/>
      <c r="C47" s="67" t="s">
        <v>568</v>
      </c>
      <c r="D47" s="400"/>
      <c r="E47" s="401"/>
      <c r="F47" s="398"/>
      <c r="G47" s="398"/>
      <c r="H47" s="400"/>
    </row>
    <row r="48" spans="1:8" ht="24">
      <c r="A48" s="413" t="s">
        <v>121</v>
      </c>
      <c r="B48" s="413" t="s">
        <v>559</v>
      </c>
      <c r="C48" s="420" t="s">
        <v>566</v>
      </c>
      <c r="D48" s="38" t="s">
        <v>7</v>
      </c>
      <c r="E48" s="415" t="s">
        <v>521</v>
      </c>
      <c r="F48" s="36" t="s">
        <v>569</v>
      </c>
      <c r="G48" s="417">
        <v>7000</v>
      </c>
      <c r="H48" s="211" t="s">
        <v>6</v>
      </c>
    </row>
    <row r="49" spans="1:8" ht="24">
      <c r="A49" s="211"/>
      <c r="B49" s="211" t="s">
        <v>562</v>
      </c>
      <c r="C49" s="67" t="s">
        <v>567</v>
      </c>
      <c r="D49" s="38"/>
      <c r="E49" s="209" t="s">
        <v>524</v>
      </c>
      <c r="F49" s="36" t="s">
        <v>570</v>
      </c>
      <c r="G49" s="36"/>
      <c r="H49" s="38"/>
    </row>
    <row r="50" spans="1:8" ht="24">
      <c r="A50" s="405"/>
      <c r="B50" s="36"/>
      <c r="C50" s="67" t="s">
        <v>568</v>
      </c>
      <c r="D50" s="38"/>
      <c r="E50" s="45"/>
      <c r="F50" s="398" t="s">
        <v>571</v>
      </c>
      <c r="G50" s="398"/>
      <c r="H50" s="408"/>
    </row>
    <row r="51" spans="1:8" ht="24">
      <c r="A51" s="413" t="s">
        <v>121</v>
      </c>
      <c r="B51" s="413" t="s">
        <v>559</v>
      </c>
      <c r="C51" s="412" t="s">
        <v>560</v>
      </c>
      <c r="D51" s="421" t="s">
        <v>7</v>
      </c>
      <c r="E51" s="415" t="s">
        <v>521</v>
      </c>
      <c r="F51" s="36" t="s">
        <v>572</v>
      </c>
      <c r="G51" s="422">
        <v>7000</v>
      </c>
      <c r="H51" s="413" t="s">
        <v>6</v>
      </c>
    </row>
    <row r="52" spans="1:8" ht="24">
      <c r="A52" s="211"/>
      <c r="B52" s="211" t="s">
        <v>562</v>
      </c>
      <c r="C52" s="396" t="s">
        <v>563</v>
      </c>
      <c r="D52" s="38"/>
      <c r="E52" s="209" t="s">
        <v>524</v>
      </c>
      <c r="F52" s="36" t="s">
        <v>573</v>
      </c>
      <c r="G52" s="36"/>
      <c r="H52" s="36"/>
    </row>
    <row r="53" spans="1:8" ht="24">
      <c r="A53" s="404"/>
      <c r="B53" s="398"/>
      <c r="C53" s="418" t="s">
        <v>565</v>
      </c>
      <c r="D53" s="400"/>
      <c r="E53" s="401"/>
      <c r="F53" s="398" t="s">
        <v>533</v>
      </c>
      <c r="G53" s="398"/>
      <c r="H53" s="398"/>
    </row>
    <row r="54" spans="1:8" ht="24">
      <c r="A54" s="413" t="s">
        <v>121</v>
      </c>
      <c r="B54" s="413" t="s">
        <v>559</v>
      </c>
      <c r="C54" s="67" t="s">
        <v>566</v>
      </c>
      <c r="D54" s="38" t="s">
        <v>7</v>
      </c>
      <c r="E54" s="415" t="s">
        <v>521</v>
      </c>
      <c r="F54" s="36" t="s">
        <v>574</v>
      </c>
      <c r="G54" s="417">
        <v>70200</v>
      </c>
      <c r="H54" s="211" t="s">
        <v>6</v>
      </c>
    </row>
    <row r="55" spans="1:8" ht="24">
      <c r="A55" s="211"/>
      <c r="B55" s="211" t="s">
        <v>562</v>
      </c>
      <c r="C55" s="67" t="s">
        <v>567</v>
      </c>
      <c r="D55" s="38"/>
      <c r="E55" s="209" t="s">
        <v>524</v>
      </c>
      <c r="F55" s="36" t="s">
        <v>570</v>
      </c>
      <c r="G55" s="36"/>
      <c r="H55" s="38"/>
    </row>
    <row r="56" spans="1:8" ht="24">
      <c r="A56" s="405"/>
      <c r="B56" s="36"/>
      <c r="C56" s="399" t="s">
        <v>568</v>
      </c>
      <c r="D56" s="38"/>
      <c r="E56" s="45"/>
      <c r="F56" s="398" t="s">
        <v>571</v>
      </c>
      <c r="G56" s="398"/>
      <c r="H56" s="423"/>
    </row>
    <row r="57" spans="1:8" ht="24">
      <c r="A57" s="413" t="s">
        <v>121</v>
      </c>
      <c r="B57" s="413" t="s">
        <v>559</v>
      </c>
      <c r="C57" s="67" t="s">
        <v>566</v>
      </c>
      <c r="D57" s="414" t="s">
        <v>7</v>
      </c>
      <c r="E57" s="415" t="s">
        <v>521</v>
      </c>
      <c r="F57" s="416" t="s">
        <v>575</v>
      </c>
      <c r="G57" s="417">
        <v>80000</v>
      </c>
      <c r="H57" s="211" t="s">
        <v>6</v>
      </c>
    </row>
    <row r="58" spans="1:8" ht="24">
      <c r="A58" s="211"/>
      <c r="B58" s="211" t="s">
        <v>562</v>
      </c>
      <c r="C58" s="67" t="s">
        <v>567</v>
      </c>
      <c r="D58" s="389"/>
      <c r="E58" s="209" t="s">
        <v>524</v>
      </c>
      <c r="F58" s="208" t="s">
        <v>576</v>
      </c>
      <c r="G58" s="417"/>
      <c r="H58" s="208"/>
    </row>
    <row r="59" spans="1:8" ht="24">
      <c r="A59" s="390"/>
      <c r="B59" s="393"/>
      <c r="C59" s="399" t="s">
        <v>568</v>
      </c>
      <c r="D59" s="392"/>
      <c r="E59" s="395"/>
      <c r="F59" s="393" t="s">
        <v>577</v>
      </c>
      <c r="G59" s="419"/>
      <c r="H59" s="393"/>
    </row>
    <row r="60" spans="1:8" ht="24">
      <c r="A60" s="211" t="s">
        <v>121</v>
      </c>
      <c r="B60" s="211" t="s">
        <v>559</v>
      </c>
      <c r="C60" s="388" t="s">
        <v>560</v>
      </c>
      <c r="D60" s="389" t="s">
        <v>10</v>
      </c>
      <c r="E60" s="209" t="s">
        <v>46</v>
      </c>
      <c r="F60" s="208" t="s">
        <v>578</v>
      </c>
      <c r="G60" s="417">
        <v>48000</v>
      </c>
      <c r="H60" s="211" t="s">
        <v>6</v>
      </c>
    </row>
    <row r="61" spans="1:8" ht="24">
      <c r="A61" s="211"/>
      <c r="B61" s="211" t="s">
        <v>562</v>
      </c>
      <c r="C61" s="396" t="s">
        <v>563</v>
      </c>
      <c r="D61" s="389"/>
      <c r="E61" s="209" t="s">
        <v>550</v>
      </c>
      <c r="F61" s="208"/>
      <c r="G61" s="417"/>
      <c r="H61" s="211"/>
    </row>
    <row r="62" spans="1:8" ht="24">
      <c r="A62" s="319"/>
      <c r="B62" s="425"/>
      <c r="C62" s="426" t="s">
        <v>565</v>
      </c>
      <c r="D62" s="427"/>
      <c r="E62" s="428"/>
      <c r="F62" s="425"/>
      <c r="G62" s="429"/>
      <c r="H62" s="319"/>
    </row>
    <row r="63" spans="1:8" ht="27.75">
      <c r="A63" s="550" t="s">
        <v>597</v>
      </c>
      <c r="B63" s="550"/>
      <c r="C63" s="550"/>
      <c r="D63" s="550"/>
      <c r="E63" s="550"/>
      <c r="G63" s="553" t="s">
        <v>295</v>
      </c>
      <c r="H63" s="553"/>
    </row>
    <row r="64" spans="1:8" ht="24">
      <c r="A64" s="206" t="s">
        <v>513</v>
      </c>
      <c r="B64" s="35" t="s">
        <v>514</v>
      </c>
      <c r="C64" s="354" t="s">
        <v>515</v>
      </c>
      <c r="D64" s="354" t="s">
        <v>516</v>
      </c>
      <c r="E64" s="35" t="s">
        <v>517</v>
      </c>
      <c r="F64" s="35" t="s">
        <v>518</v>
      </c>
      <c r="G64" s="545" t="s">
        <v>15</v>
      </c>
      <c r="H64" s="545"/>
    </row>
    <row r="65" spans="1:8" ht="24">
      <c r="A65" s="413" t="s">
        <v>9</v>
      </c>
      <c r="B65" s="413" t="s">
        <v>559</v>
      </c>
      <c r="C65" s="413" t="s">
        <v>579</v>
      </c>
      <c r="D65" s="414" t="s">
        <v>580</v>
      </c>
      <c r="E65" s="413" t="s">
        <v>581</v>
      </c>
      <c r="F65" s="416" t="s">
        <v>582</v>
      </c>
      <c r="G65" s="417">
        <v>498000</v>
      </c>
      <c r="H65" s="211" t="s">
        <v>6</v>
      </c>
    </row>
    <row r="66" spans="1:8" ht="24">
      <c r="A66" s="211" t="s">
        <v>583</v>
      </c>
      <c r="B66" s="211" t="s">
        <v>562</v>
      </c>
      <c r="C66" s="211"/>
      <c r="D66" s="389" t="s">
        <v>584</v>
      </c>
      <c r="E66" s="211" t="s">
        <v>585</v>
      </c>
      <c r="F66" s="208" t="s">
        <v>586</v>
      </c>
      <c r="G66" s="417"/>
      <c r="H66" s="211"/>
    </row>
    <row r="67" spans="1:8" ht="24">
      <c r="A67" s="390"/>
      <c r="B67" s="393"/>
      <c r="C67" s="418"/>
      <c r="D67" s="392" t="s">
        <v>587</v>
      </c>
      <c r="E67" s="395"/>
      <c r="F67" s="393" t="s">
        <v>588</v>
      </c>
      <c r="G67" s="419"/>
      <c r="H67" s="390"/>
    </row>
    <row r="68" spans="1:8" ht="24">
      <c r="A68" s="413" t="s">
        <v>9</v>
      </c>
      <c r="B68" s="413" t="s">
        <v>559</v>
      </c>
      <c r="C68" s="413" t="s">
        <v>579</v>
      </c>
      <c r="D68" s="414" t="s">
        <v>580</v>
      </c>
      <c r="E68" s="413" t="s">
        <v>581</v>
      </c>
      <c r="F68" s="416" t="s">
        <v>589</v>
      </c>
      <c r="G68" s="417">
        <v>158000</v>
      </c>
      <c r="H68" s="211" t="s">
        <v>6</v>
      </c>
    </row>
    <row r="69" spans="1:8" ht="24">
      <c r="A69" s="211" t="s">
        <v>583</v>
      </c>
      <c r="B69" s="211" t="s">
        <v>562</v>
      </c>
      <c r="C69" s="211"/>
      <c r="D69" s="389" t="s">
        <v>584</v>
      </c>
      <c r="E69" s="211" t="s">
        <v>585</v>
      </c>
      <c r="F69" s="208" t="s">
        <v>590</v>
      </c>
      <c r="G69" s="417"/>
      <c r="H69" s="211"/>
    </row>
    <row r="70" spans="1:8" ht="24">
      <c r="A70" s="390"/>
      <c r="B70" s="393"/>
      <c r="C70" s="418"/>
      <c r="D70" s="392" t="s">
        <v>587</v>
      </c>
      <c r="E70" s="395"/>
      <c r="F70" s="393"/>
      <c r="G70" s="419"/>
      <c r="H70" s="390"/>
    </row>
    <row r="71" spans="1:8" ht="24">
      <c r="A71" s="413" t="s">
        <v>9</v>
      </c>
      <c r="B71" s="413" t="s">
        <v>559</v>
      </c>
      <c r="C71" s="413" t="s">
        <v>579</v>
      </c>
      <c r="D71" s="414" t="s">
        <v>580</v>
      </c>
      <c r="E71" s="413" t="s">
        <v>581</v>
      </c>
      <c r="F71" s="416" t="s">
        <v>582</v>
      </c>
      <c r="G71" s="417">
        <v>1495000</v>
      </c>
      <c r="H71" s="211" t="s">
        <v>6</v>
      </c>
    </row>
    <row r="72" spans="1:11" ht="24">
      <c r="A72" s="211" t="s">
        <v>583</v>
      </c>
      <c r="B72" s="211" t="s">
        <v>562</v>
      </c>
      <c r="C72" s="211"/>
      <c r="D72" s="389" t="s">
        <v>584</v>
      </c>
      <c r="E72" s="211" t="s">
        <v>585</v>
      </c>
      <c r="F72" s="208" t="s">
        <v>591</v>
      </c>
      <c r="G72" s="417"/>
      <c r="H72" s="208"/>
      <c r="K72" s="188">
        <v>608954.1</v>
      </c>
    </row>
    <row r="73" spans="1:11" ht="24">
      <c r="A73" s="319"/>
      <c r="B73" s="425"/>
      <c r="C73" s="426"/>
      <c r="D73" s="427" t="s">
        <v>587</v>
      </c>
      <c r="E73" s="428"/>
      <c r="F73" s="425" t="s">
        <v>592</v>
      </c>
      <c r="G73" s="429"/>
      <c r="H73" s="425"/>
      <c r="K73" s="188">
        <v>2151000</v>
      </c>
    </row>
    <row r="74" spans="1:11" ht="24">
      <c r="A74" s="531" t="s">
        <v>14</v>
      </c>
      <c r="B74" s="552"/>
      <c r="C74" s="552"/>
      <c r="D74" s="552"/>
      <c r="E74" s="552"/>
      <c r="F74" s="532"/>
      <c r="G74" s="424">
        <f>SUM(G6:G71)</f>
        <v>2759954</v>
      </c>
      <c r="H74" s="206">
        <v>10</v>
      </c>
      <c r="K74" s="188">
        <f>SUM(K72:K73)</f>
        <v>2759954.1</v>
      </c>
    </row>
    <row r="75" spans="1:11" ht="24">
      <c r="A75" s="430"/>
      <c r="B75" s="430"/>
      <c r="C75" s="430"/>
      <c r="D75" s="430"/>
      <c r="E75" s="430"/>
      <c r="F75" s="430"/>
      <c r="G75" s="431"/>
      <c r="H75" s="430"/>
      <c r="K75" s="188"/>
    </row>
    <row r="76" spans="1:11" ht="24">
      <c r="A76" s="430"/>
      <c r="B76" s="430"/>
      <c r="C76" s="430"/>
      <c r="D76" s="430"/>
      <c r="E76" s="430"/>
      <c r="F76" s="430"/>
      <c r="G76" s="431"/>
      <c r="H76" s="430"/>
      <c r="K76" s="188"/>
    </row>
    <row r="77" spans="1:11" ht="24">
      <c r="A77" s="430"/>
      <c r="B77" s="430"/>
      <c r="C77" s="430"/>
      <c r="D77" s="430"/>
      <c r="E77" s="430"/>
      <c r="F77" s="430"/>
      <c r="G77" s="431"/>
      <c r="H77" s="430"/>
      <c r="K77" s="188"/>
    </row>
    <row r="78" spans="1:11" ht="24">
      <c r="A78" s="430"/>
      <c r="B78" s="430"/>
      <c r="C78" s="430"/>
      <c r="D78" s="430"/>
      <c r="E78" s="430"/>
      <c r="F78" s="430"/>
      <c r="G78" s="431"/>
      <c r="H78" s="430"/>
      <c r="K78" s="188"/>
    </row>
    <row r="79" spans="1:11" ht="24">
      <c r="A79" s="430"/>
      <c r="B79" s="430"/>
      <c r="C79" s="430"/>
      <c r="D79" s="430"/>
      <c r="E79" s="430"/>
      <c r="F79" s="430"/>
      <c r="G79" s="431"/>
      <c r="H79" s="430"/>
      <c r="K79" s="188"/>
    </row>
    <row r="80" spans="1:11" ht="24">
      <c r="A80" s="430"/>
      <c r="B80" s="430"/>
      <c r="C80" s="430"/>
      <c r="D80" s="430"/>
      <c r="E80" s="430"/>
      <c r="F80" s="430"/>
      <c r="G80" s="431"/>
      <c r="H80" s="430"/>
      <c r="K80" s="188"/>
    </row>
    <row r="81" spans="1:11" ht="24">
      <c r="A81" s="430"/>
      <c r="B81" s="430"/>
      <c r="C81" s="430"/>
      <c r="D81" s="430"/>
      <c r="E81" s="430"/>
      <c r="F81" s="430"/>
      <c r="G81" s="431"/>
      <c r="H81" s="430"/>
      <c r="K81" s="188"/>
    </row>
    <row r="82" spans="1:11" ht="24">
      <c r="A82" s="430"/>
      <c r="B82" s="430"/>
      <c r="C82" s="430"/>
      <c r="D82" s="430"/>
      <c r="E82" s="430"/>
      <c r="F82" s="430"/>
      <c r="G82" s="431"/>
      <c r="H82" s="430"/>
      <c r="K82" s="188"/>
    </row>
    <row r="83" spans="1:11" ht="24">
      <c r="A83" s="430"/>
      <c r="B83" s="430"/>
      <c r="C83" s="430"/>
      <c r="D83" s="430"/>
      <c r="E83" s="430"/>
      <c r="F83" s="430"/>
      <c r="G83" s="431"/>
      <c r="H83" s="430"/>
      <c r="K83" s="188"/>
    </row>
    <row r="84" spans="1:11" ht="24">
      <c r="A84" s="430"/>
      <c r="B84" s="430"/>
      <c r="C84" s="430"/>
      <c r="D84" s="430"/>
      <c r="E84" s="430"/>
      <c r="F84" s="430"/>
      <c r="G84" s="431"/>
      <c r="H84" s="430"/>
      <c r="K84" s="188"/>
    </row>
    <row r="85" spans="1:11" ht="24">
      <c r="A85" s="430"/>
      <c r="B85" s="430"/>
      <c r="C85" s="430"/>
      <c r="D85" s="430"/>
      <c r="E85" s="430"/>
      <c r="F85" s="430"/>
      <c r="G85" s="431"/>
      <c r="H85" s="430"/>
      <c r="K85" s="188"/>
    </row>
    <row r="86" spans="1:11" ht="24">
      <c r="A86" s="430"/>
      <c r="B86" s="430"/>
      <c r="C86" s="430"/>
      <c r="D86" s="430"/>
      <c r="E86" s="430"/>
      <c r="F86" s="430"/>
      <c r="G86" s="431"/>
      <c r="H86" s="430"/>
      <c r="K86" s="188"/>
    </row>
    <row r="87" spans="1:11" ht="24">
      <c r="A87" s="430"/>
      <c r="B87" s="430"/>
      <c r="C87" s="430"/>
      <c r="D87" s="430"/>
      <c r="E87" s="430"/>
      <c r="F87" s="430"/>
      <c r="G87" s="431"/>
      <c r="H87" s="430"/>
      <c r="K87" s="188"/>
    </row>
    <row r="88" spans="1:11" ht="24">
      <c r="A88" s="430"/>
      <c r="B88" s="430"/>
      <c r="C88" s="430"/>
      <c r="D88" s="430"/>
      <c r="E88" s="430"/>
      <c r="F88" s="430"/>
      <c r="G88" s="431"/>
      <c r="H88" s="430"/>
      <c r="K88" s="188"/>
    </row>
    <row r="89" spans="1:11" ht="24">
      <c r="A89" s="430"/>
      <c r="B89" s="430"/>
      <c r="C89" s="430"/>
      <c r="D89" s="430"/>
      <c r="E89" s="430"/>
      <c r="F89" s="430"/>
      <c r="G89" s="431"/>
      <c r="H89" s="430"/>
      <c r="K89" s="188"/>
    </row>
    <row r="90" spans="1:11" ht="24">
      <c r="A90" s="430"/>
      <c r="B90" s="430"/>
      <c r="C90" s="430"/>
      <c r="D90" s="430"/>
      <c r="E90" s="430"/>
      <c r="F90" s="430"/>
      <c r="G90" s="431"/>
      <c r="H90" s="430"/>
      <c r="K90" s="188"/>
    </row>
    <row r="91" spans="1:11" ht="24">
      <c r="A91" s="430"/>
      <c r="B91" s="430"/>
      <c r="C91" s="430"/>
      <c r="D91" s="430"/>
      <c r="E91" s="430"/>
      <c r="F91" s="430"/>
      <c r="G91" s="431"/>
      <c r="H91" s="430"/>
      <c r="K91" s="188"/>
    </row>
    <row r="92" spans="1:11" ht="24">
      <c r="A92" s="430"/>
      <c r="B92" s="430"/>
      <c r="C92" s="430"/>
      <c r="D92" s="430"/>
      <c r="E92" s="430"/>
      <c r="F92" s="430"/>
      <c r="G92" s="431"/>
      <c r="H92" s="430"/>
      <c r="K92" s="188"/>
    </row>
    <row r="93" spans="1:11" ht="24">
      <c r="A93" s="430"/>
      <c r="B93" s="430"/>
      <c r="C93" s="430"/>
      <c r="D93" s="430"/>
      <c r="E93" s="430"/>
      <c r="F93" s="430"/>
      <c r="G93" s="431"/>
      <c r="H93" s="430"/>
      <c r="K93" s="188"/>
    </row>
    <row r="94" spans="1:5" ht="27.75">
      <c r="A94" s="551" t="s">
        <v>597</v>
      </c>
      <c r="B94" s="551"/>
      <c r="C94" s="551"/>
      <c r="D94" s="551"/>
      <c r="E94" s="551"/>
    </row>
    <row r="95" spans="1:8" ht="24">
      <c r="A95" s="206" t="s">
        <v>513</v>
      </c>
      <c r="B95" s="35" t="s">
        <v>514</v>
      </c>
      <c r="C95" s="354" t="s">
        <v>515</v>
      </c>
      <c r="D95" s="354" t="s">
        <v>516</v>
      </c>
      <c r="E95" s="35" t="s">
        <v>517</v>
      </c>
      <c r="F95" s="35" t="s">
        <v>518</v>
      </c>
      <c r="G95" s="545" t="s">
        <v>15</v>
      </c>
      <c r="H95" s="545"/>
    </row>
    <row r="96" spans="1:8" ht="24">
      <c r="A96" s="413" t="s">
        <v>593</v>
      </c>
      <c r="B96" s="413" t="s">
        <v>559</v>
      </c>
      <c r="C96" s="413" t="s">
        <v>579</v>
      </c>
      <c r="D96" s="414" t="s">
        <v>580</v>
      </c>
      <c r="E96" s="413" t="s">
        <v>581</v>
      </c>
      <c r="F96" s="416" t="s">
        <v>594</v>
      </c>
      <c r="G96" s="417">
        <v>149500</v>
      </c>
      <c r="H96" s="211" t="s">
        <v>6</v>
      </c>
    </row>
    <row r="97" spans="1:8" ht="24">
      <c r="A97" s="211" t="s">
        <v>595</v>
      </c>
      <c r="B97" s="211" t="s">
        <v>562</v>
      </c>
      <c r="C97" s="211"/>
      <c r="D97" s="389" t="s">
        <v>584</v>
      </c>
      <c r="E97" s="211" t="s">
        <v>585</v>
      </c>
      <c r="F97" s="208" t="s">
        <v>596</v>
      </c>
      <c r="G97" s="417"/>
      <c r="H97" s="211"/>
    </row>
    <row r="98" spans="1:8" ht="24">
      <c r="A98" s="390" t="s">
        <v>11</v>
      </c>
      <c r="B98" s="393"/>
      <c r="C98" s="418"/>
      <c r="D98" s="392" t="s">
        <v>587</v>
      </c>
      <c r="E98" s="395"/>
      <c r="F98" s="393"/>
      <c r="G98" s="419"/>
      <c r="H98" s="390"/>
    </row>
    <row r="99" spans="1:8" ht="24">
      <c r="A99" s="413" t="s">
        <v>593</v>
      </c>
      <c r="B99" s="413" t="s">
        <v>559</v>
      </c>
      <c r="C99" s="413" t="s">
        <v>579</v>
      </c>
      <c r="D99" s="414" t="s">
        <v>580</v>
      </c>
      <c r="E99" s="413" t="s">
        <v>581</v>
      </c>
      <c r="F99" s="416" t="s">
        <v>582</v>
      </c>
      <c r="G99" s="422">
        <v>499000</v>
      </c>
      <c r="H99" s="211" t="s">
        <v>6</v>
      </c>
    </row>
    <row r="100" spans="1:8" ht="24">
      <c r="A100" s="211" t="s">
        <v>595</v>
      </c>
      <c r="B100" s="211" t="s">
        <v>562</v>
      </c>
      <c r="C100" s="211"/>
      <c r="D100" s="389" t="s">
        <v>584</v>
      </c>
      <c r="E100" s="211" t="s">
        <v>585</v>
      </c>
      <c r="F100" s="208" t="s">
        <v>596</v>
      </c>
      <c r="G100" s="36"/>
      <c r="H100" s="38"/>
    </row>
    <row r="101" spans="1:8" ht="24">
      <c r="A101" s="211" t="s">
        <v>11</v>
      </c>
      <c r="B101" s="211"/>
      <c r="C101" s="211"/>
      <c r="D101" s="389" t="s">
        <v>587</v>
      </c>
      <c r="E101" s="211"/>
      <c r="F101" s="208"/>
      <c r="G101" s="36"/>
      <c r="H101" s="38"/>
    </row>
    <row r="102" spans="1:8" ht="24">
      <c r="A102" s="211"/>
      <c r="B102" s="211"/>
      <c r="C102" s="211"/>
      <c r="D102" s="389"/>
      <c r="E102" s="211"/>
      <c r="F102" s="208"/>
      <c r="G102" s="36"/>
      <c r="H102" s="38"/>
    </row>
    <row r="103" spans="1:8" ht="24">
      <c r="A103" s="211"/>
      <c r="B103" s="211"/>
      <c r="C103" s="211"/>
      <c r="D103" s="389"/>
      <c r="E103" s="211"/>
      <c r="F103" s="208"/>
      <c r="G103" s="36"/>
      <c r="H103" s="38"/>
    </row>
    <row r="104" spans="1:8" ht="24">
      <c r="A104" s="211"/>
      <c r="B104" s="211"/>
      <c r="C104" s="211"/>
      <c r="D104" s="389"/>
      <c r="E104" s="211"/>
      <c r="F104" s="208"/>
      <c r="G104" s="36"/>
      <c r="H104" s="38"/>
    </row>
    <row r="105" spans="1:8" ht="24">
      <c r="A105" s="531" t="s">
        <v>14</v>
      </c>
      <c r="B105" s="552"/>
      <c r="C105" s="552"/>
      <c r="D105" s="552"/>
      <c r="E105" s="552"/>
      <c r="F105" s="532"/>
      <c r="G105" s="424">
        <f>SUM(G96:G99)</f>
        <v>648500</v>
      </c>
      <c r="H105" s="206" t="s">
        <v>6</v>
      </c>
    </row>
    <row r="106" spans="1:8" ht="24">
      <c r="A106" s="432"/>
      <c r="B106" s="432"/>
      <c r="C106" s="432"/>
      <c r="D106" s="433"/>
      <c r="E106" s="432"/>
      <c r="F106" s="434"/>
      <c r="G106" s="76"/>
      <c r="H106" s="76"/>
    </row>
    <row r="107" spans="1:8" ht="24">
      <c r="A107" s="432"/>
      <c r="B107" s="432"/>
      <c r="C107" s="432"/>
      <c r="D107" s="433"/>
      <c r="E107" s="432"/>
      <c r="F107" s="434"/>
      <c r="G107" s="76"/>
      <c r="H107" s="76"/>
    </row>
    <row r="108" spans="1:8" ht="24">
      <c r="A108" s="432"/>
      <c r="B108" s="434"/>
      <c r="C108" s="435"/>
      <c r="D108" s="433"/>
      <c r="E108" s="436"/>
      <c r="F108" s="434"/>
      <c r="G108" s="76"/>
      <c r="H108" s="76"/>
    </row>
  </sheetData>
  <sheetProtection/>
  <mergeCells count="15">
    <mergeCell ref="A1:H1"/>
    <mergeCell ref="A2:H2"/>
    <mergeCell ref="A3:H3"/>
    <mergeCell ref="A4:E4"/>
    <mergeCell ref="G5:H5"/>
    <mergeCell ref="A32:E32"/>
    <mergeCell ref="G32:H32"/>
    <mergeCell ref="A94:E94"/>
    <mergeCell ref="G95:H95"/>
    <mergeCell ref="A105:F105"/>
    <mergeCell ref="G33:H33"/>
    <mergeCell ref="A63:E63"/>
    <mergeCell ref="G63:H63"/>
    <mergeCell ref="G64:H64"/>
    <mergeCell ref="A74:F74"/>
  </mergeCells>
  <printOptions/>
  <pageMargins left="0.35" right="0.17" top="0.99" bottom="0.48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6">
      <selection activeCell="F25" sqref="F25"/>
    </sheetView>
  </sheetViews>
  <sheetFormatPr defaultColWidth="9.140625" defaultRowHeight="12.75"/>
  <cols>
    <col min="1" max="1" width="4.421875" style="6" customWidth="1"/>
    <col min="2" max="2" width="9.140625" style="6" customWidth="1"/>
    <col min="3" max="3" width="18.00390625" style="6" customWidth="1"/>
    <col min="4" max="4" width="6.421875" style="6" customWidth="1"/>
    <col min="5" max="5" width="19.57421875" style="6" customWidth="1"/>
    <col min="6" max="6" width="13.421875" style="6" customWidth="1"/>
    <col min="7" max="8" width="14.140625" style="6" customWidth="1"/>
    <col min="9" max="12" width="9.140625" style="6" customWidth="1"/>
    <col min="13" max="13" width="14.140625" style="6" customWidth="1"/>
    <col min="14" max="16384" width="9.140625" style="6" customWidth="1"/>
  </cols>
  <sheetData>
    <row r="1" spans="1:9" ht="24">
      <c r="A1" s="513" t="s">
        <v>498</v>
      </c>
      <c r="B1" s="513"/>
      <c r="C1" s="513"/>
      <c r="D1" s="513"/>
      <c r="E1" s="513"/>
      <c r="F1" s="513"/>
      <c r="G1" s="513"/>
      <c r="H1" s="513"/>
      <c r="I1" s="52"/>
    </row>
    <row r="2" spans="1:9" ht="24">
      <c r="A2" s="513" t="s">
        <v>137</v>
      </c>
      <c r="B2" s="513"/>
      <c r="C2" s="513"/>
      <c r="D2" s="513"/>
      <c r="E2" s="513"/>
      <c r="F2" s="513"/>
      <c r="G2" s="513"/>
      <c r="H2" s="513"/>
      <c r="I2" s="50"/>
    </row>
    <row r="3" spans="1:9" ht="24">
      <c r="A3" s="513" t="s">
        <v>508</v>
      </c>
      <c r="B3" s="513"/>
      <c r="C3" s="513"/>
      <c r="D3" s="513"/>
      <c r="E3" s="513"/>
      <c r="F3" s="513"/>
      <c r="G3" s="513"/>
      <c r="H3" s="513"/>
      <c r="I3" s="52"/>
    </row>
    <row r="4" s="76" customFormat="1" ht="24">
      <c r="A4" s="95" t="s">
        <v>599</v>
      </c>
    </row>
    <row r="5" spans="1:8" ht="24">
      <c r="A5" s="7" t="s">
        <v>600</v>
      </c>
      <c r="B5" s="7"/>
      <c r="C5" s="7"/>
      <c r="D5" s="7"/>
      <c r="E5" s="7"/>
      <c r="F5" s="189"/>
      <c r="G5" s="189"/>
      <c r="H5" s="189">
        <v>3562934.19</v>
      </c>
    </row>
    <row r="6" spans="1:8" ht="24">
      <c r="A6" s="69"/>
      <c r="B6" s="6" t="s">
        <v>68</v>
      </c>
      <c r="F6" s="186"/>
      <c r="G6" s="186">
        <v>4134599.79</v>
      </c>
      <c r="H6" s="186"/>
    </row>
    <row r="7" spans="2:8" ht="24">
      <c r="B7" s="6" t="s">
        <v>601</v>
      </c>
      <c r="F7" s="333">
        <f>SUM(G6*25/100)</f>
        <v>1033649.9475</v>
      </c>
      <c r="G7" s="186"/>
      <c r="H7" s="186"/>
    </row>
    <row r="8" spans="1:8" ht="24">
      <c r="A8" s="181" t="s">
        <v>33</v>
      </c>
      <c r="B8" s="6" t="s">
        <v>134</v>
      </c>
      <c r="F8" s="186"/>
      <c r="G8" s="186">
        <f>SUM(G6-F7)</f>
        <v>3100949.8425000003</v>
      </c>
      <c r="H8" s="186"/>
    </row>
    <row r="9" spans="2:8" ht="24">
      <c r="B9" s="6" t="s">
        <v>602</v>
      </c>
      <c r="F9" s="186"/>
      <c r="G9" s="333">
        <f>12000</f>
        <v>12000</v>
      </c>
      <c r="H9" s="333">
        <f>SUM(G8:G9)</f>
        <v>3112949.8425000003</v>
      </c>
    </row>
    <row r="10" spans="6:8" ht="24">
      <c r="F10" s="186"/>
      <c r="G10" s="186"/>
      <c r="H10" s="186">
        <f>SUM(H5+H9)</f>
        <v>6675884.032500001</v>
      </c>
    </row>
    <row r="11" spans="1:8" ht="24">
      <c r="A11" s="69" t="s">
        <v>28</v>
      </c>
      <c r="B11" s="6" t="s">
        <v>603</v>
      </c>
      <c r="F11" s="186">
        <v>428626.6</v>
      </c>
      <c r="G11" s="186"/>
      <c r="H11" s="189"/>
    </row>
    <row r="12" spans="6:8" ht="24">
      <c r="F12" s="186"/>
      <c r="G12" s="186"/>
      <c r="H12" s="189">
        <f>SUM(F11:F11)</f>
        <v>428626.6</v>
      </c>
    </row>
    <row r="13" spans="2:8" ht="24.75" thickBot="1">
      <c r="B13" s="7" t="s">
        <v>604</v>
      </c>
      <c r="C13" s="7"/>
      <c r="D13" s="7"/>
      <c r="E13" s="7"/>
      <c r="F13" s="189"/>
      <c r="G13" s="186"/>
      <c r="H13" s="187">
        <f>SUM(H10-H12)</f>
        <v>6247257.432500001</v>
      </c>
    </row>
    <row r="14" spans="2:8" ht="24.75" thickTop="1">
      <c r="B14" s="7"/>
      <c r="C14" s="7"/>
      <c r="D14" s="7"/>
      <c r="E14" s="7"/>
      <c r="F14" s="189"/>
      <c r="G14" s="186"/>
      <c r="H14" s="334"/>
    </row>
    <row r="15" ht="24">
      <c r="A15" s="6" t="s">
        <v>605</v>
      </c>
    </row>
    <row r="16" spans="1:7" ht="24">
      <c r="A16" s="34">
        <v>1</v>
      </c>
      <c r="B16" s="6" t="s">
        <v>177</v>
      </c>
      <c r="F16" s="53"/>
      <c r="G16" s="53">
        <v>923897.37</v>
      </c>
    </row>
    <row r="17" spans="1:7" ht="24">
      <c r="A17" s="34">
        <v>2</v>
      </c>
      <c r="B17" s="6" t="s">
        <v>606</v>
      </c>
      <c r="F17" s="53"/>
      <c r="G17" s="53">
        <v>10017</v>
      </c>
    </row>
    <row r="18" spans="1:7" ht="24">
      <c r="A18" s="34">
        <v>3</v>
      </c>
      <c r="B18" s="6" t="s">
        <v>607</v>
      </c>
      <c r="F18" s="53"/>
      <c r="G18" s="53">
        <f>177648.05+350167</f>
        <v>527815.05</v>
      </c>
    </row>
    <row r="19" spans="1:7" ht="24">
      <c r="A19" s="34">
        <v>4</v>
      </c>
      <c r="B19" s="6" t="s">
        <v>608</v>
      </c>
      <c r="F19" s="53"/>
      <c r="G19" s="53">
        <v>2151000</v>
      </c>
    </row>
    <row r="20" spans="1:8" ht="24">
      <c r="A20" s="34">
        <v>5</v>
      </c>
      <c r="B20" s="6" t="s">
        <v>609</v>
      </c>
      <c r="F20" s="437"/>
      <c r="G20" s="335">
        <f>SUM(H13-G16-G17-G18-G19)</f>
        <v>2634528.012500001</v>
      </c>
      <c r="H20" s="437"/>
    </row>
    <row r="21" spans="2:8" ht="24.75" thickBot="1">
      <c r="B21" s="6" t="s">
        <v>610</v>
      </c>
      <c r="F21" s="437"/>
      <c r="G21" s="438">
        <f>SUM(G16:G20)</f>
        <v>6247257.432500001</v>
      </c>
      <c r="H21" s="76"/>
    </row>
    <row r="22" spans="1:8" ht="24.75" thickTop="1">
      <c r="A22" s="524" t="s">
        <v>676</v>
      </c>
      <c r="B22" s="524"/>
      <c r="C22" s="524"/>
      <c r="D22" s="524"/>
      <c r="E22" s="524"/>
      <c r="F22" s="524"/>
      <c r="G22" s="524"/>
      <c r="H22" s="524"/>
    </row>
    <row r="23" spans="1:8" ht="24">
      <c r="A23" s="524" t="s">
        <v>677</v>
      </c>
      <c r="B23" s="524"/>
      <c r="C23" s="524"/>
      <c r="D23" s="524"/>
      <c r="E23" s="524"/>
      <c r="F23" s="524"/>
      <c r="G23" s="524"/>
      <c r="H23" s="524"/>
    </row>
    <row r="26" spans="1:7" ht="24">
      <c r="A26" s="6" t="s">
        <v>69</v>
      </c>
      <c r="E26" s="6" t="s">
        <v>74</v>
      </c>
      <c r="G26" s="6" t="s">
        <v>70</v>
      </c>
    </row>
    <row r="27" spans="1:7" ht="24">
      <c r="A27" s="6" t="s">
        <v>71</v>
      </c>
      <c r="E27" s="6" t="s">
        <v>75</v>
      </c>
      <c r="G27" s="6" t="s">
        <v>72</v>
      </c>
    </row>
    <row r="28" spans="1:2" ht="24">
      <c r="A28" s="63" t="s">
        <v>82</v>
      </c>
      <c r="B28" s="63"/>
    </row>
    <row r="29" spans="6:8" ht="24">
      <c r="F29" s="183"/>
      <c r="G29" s="183"/>
      <c r="H29" s="183"/>
    </row>
    <row r="30" spans="6:8" ht="24">
      <c r="F30" s="183"/>
      <c r="G30" s="183"/>
      <c r="H30" s="183"/>
    </row>
    <row r="40" ht="24">
      <c r="I40" s="6" t="s">
        <v>13</v>
      </c>
    </row>
    <row r="41" ht="24">
      <c r="A41" s="6" t="s">
        <v>35</v>
      </c>
    </row>
    <row r="53" ht="24">
      <c r="A53" s="6" t="s">
        <v>36</v>
      </c>
    </row>
  </sheetData>
  <sheetProtection/>
  <mergeCells count="5">
    <mergeCell ref="A2:H2"/>
    <mergeCell ref="A1:H1"/>
    <mergeCell ref="A3:H3"/>
    <mergeCell ref="A22:H22"/>
    <mergeCell ref="A23:H23"/>
  </mergeCells>
  <printOptions/>
  <pageMargins left="0.35" right="0.16" top="0.49" bottom="0.48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33"/>
  <sheetViews>
    <sheetView zoomScalePageLayoutView="0" workbookViewId="0" topLeftCell="A9">
      <selection activeCell="F19" sqref="F19"/>
    </sheetView>
  </sheetViews>
  <sheetFormatPr defaultColWidth="9.140625" defaultRowHeight="12.75"/>
  <cols>
    <col min="1" max="1" width="5.7109375" style="6" customWidth="1"/>
    <col min="2" max="3" width="9.140625" style="6" customWidth="1"/>
    <col min="4" max="4" width="14.00390625" style="6" customWidth="1"/>
    <col min="5" max="6" width="18.8515625" style="6" customWidth="1"/>
    <col min="7" max="7" width="11.28125" style="6" customWidth="1"/>
    <col min="8" max="8" width="12.00390625" style="6" customWidth="1"/>
    <col min="9" max="9" width="15.28125" style="6" customWidth="1"/>
    <col min="10" max="10" width="13.57421875" style="6" customWidth="1"/>
    <col min="11" max="11" width="14.28125" style="6" customWidth="1"/>
    <col min="12" max="16384" width="9.140625" style="6" customWidth="1"/>
  </cols>
  <sheetData>
    <row r="1" spans="2:7" ht="24">
      <c r="B1" s="180"/>
      <c r="C1" s="180"/>
      <c r="D1" s="180"/>
      <c r="E1" s="180"/>
      <c r="F1" s="180"/>
      <c r="G1" s="180"/>
    </row>
    <row r="2" spans="2:7" ht="24">
      <c r="B2" s="69" t="s">
        <v>320</v>
      </c>
      <c r="C2" s="182"/>
      <c r="D2" s="182"/>
      <c r="E2" s="182"/>
      <c r="F2" s="182"/>
      <c r="G2" s="182"/>
    </row>
    <row r="4" spans="2:6" ht="24">
      <c r="B4" s="6" t="s">
        <v>710</v>
      </c>
      <c r="F4" s="7"/>
    </row>
    <row r="6" spans="2:5" ht="24">
      <c r="B6" s="6" t="s">
        <v>113</v>
      </c>
      <c r="E6" s="183"/>
    </row>
    <row r="7" spans="2:5" ht="24">
      <c r="B7" s="6" t="s">
        <v>114</v>
      </c>
      <c r="E7" s="183">
        <v>32653614.18</v>
      </c>
    </row>
    <row r="8" spans="2:5" ht="24">
      <c r="B8" s="69" t="s">
        <v>319</v>
      </c>
      <c r="E8" s="183">
        <v>28519014.39</v>
      </c>
    </row>
    <row r="9" spans="2:5" ht="24">
      <c r="B9" s="7" t="s">
        <v>115</v>
      </c>
      <c r="C9" s="7"/>
      <c r="D9" s="7"/>
      <c r="E9" s="183"/>
    </row>
    <row r="10" spans="2:5" ht="24.75" thickBot="1">
      <c r="B10" s="6" t="s">
        <v>27</v>
      </c>
      <c r="E10" s="184">
        <f>SUM(E7-E8)</f>
        <v>4134599.789999999</v>
      </c>
    </row>
    <row r="11" ht="24.75" thickTop="1">
      <c r="E11" s="183"/>
    </row>
    <row r="12" spans="5:11" ht="24">
      <c r="E12" s="183"/>
      <c r="G12" s="185"/>
      <c r="H12" s="183"/>
      <c r="I12" s="183"/>
      <c r="J12" s="183"/>
      <c r="K12" s="183"/>
    </row>
    <row r="13" spans="2:5" ht="24">
      <c r="B13" s="69" t="s">
        <v>708</v>
      </c>
      <c r="E13" s="183"/>
    </row>
    <row r="14" spans="3:5" ht="24">
      <c r="C14" s="6" t="s">
        <v>116</v>
      </c>
      <c r="E14" s="186">
        <v>4134599.79</v>
      </c>
    </row>
    <row r="15" spans="2:5" ht="24">
      <c r="B15" s="69" t="s">
        <v>28</v>
      </c>
      <c r="C15" s="6" t="s">
        <v>709</v>
      </c>
      <c r="E15" s="186">
        <f>SUM(E14*25/100)</f>
        <v>1033649.9475</v>
      </c>
    </row>
    <row r="16" spans="3:6" ht="24.75" thickBot="1">
      <c r="C16" s="6" t="s">
        <v>117</v>
      </c>
      <c r="E16" s="187">
        <f>SUM(E14-E15)</f>
        <v>3100949.8425000003</v>
      </c>
      <c r="F16" s="6" t="s">
        <v>29</v>
      </c>
    </row>
    <row r="17" spans="5:9" ht="24.75" thickTop="1">
      <c r="E17" s="183"/>
      <c r="I17" s="183"/>
    </row>
    <row r="18" spans="2:3" ht="24">
      <c r="B18" s="69" t="s">
        <v>118</v>
      </c>
      <c r="C18" s="69"/>
    </row>
    <row r="20" spans="2:5" ht="24">
      <c r="B20" s="7" t="s">
        <v>5</v>
      </c>
      <c r="C20" s="6" t="s">
        <v>19</v>
      </c>
      <c r="E20" s="188">
        <v>32653614.18</v>
      </c>
    </row>
    <row r="22" spans="3:10" ht="24">
      <c r="C22" s="7" t="s">
        <v>2</v>
      </c>
      <c r="D22" s="6" t="s">
        <v>20</v>
      </c>
      <c r="F22" s="189">
        <v>28519014.39</v>
      </c>
      <c r="J22" s="77"/>
    </row>
    <row r="23" spans="4:6" ht="24">
      <c r="D23" s="6" t="s">
        <v>711</v>
      </c>
      <c r="F23" s="189">
        <f>E15</f>
        <v>1033649.9475</v>
      </c>
    </row>
    <row r="24" spans="4:6" ht="24">
      <c r="D24" s="6" t="s">
        <v>11</v>
      </c>
      <c r="F24" s="189">
        <f>E16</f>
        <v>3100949.8425000003</v>
      </c>
    </row>
    <row r="25" spans="4:6" ht="24">
      <c r="D25" s="6" t="s">
        <v>119</v>
      </c>
      <c r="F25" s="190" t="s">
        <v>3</v>
      </c>
    </row>
    <row r="26" spans="4:6" ht="24">
      <c r="D26" s="554" t="s">
        <v>120</v>
      </c>
      <c r="E26" s="554"/>
      <c r="F26" s="190" t="s">
        <v>3</v>
      </c>
    </row>
    <row r="27" ht="24">
      <c r="F27" s="188"/>
    </row>
    <row r="28" ht="24">
      <c r="F28" s="183"/>
    </row>
    <row r="33" spans="2:7" ht="24">
      <c r="B33" s="180"/>
      <c r="C33" s="180"/>
      <c r="D33" s="180"/>
      <c r="E33" s="180"/>
      <c r="F33" s="180"/>
      <c r="G33" s="180"/>
    </row>
  </sheetData>
  <sheetProtection/>
  <mergeCells count="1">
    <mergeCell ref="D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0">
      <selection activeCell="D18" sqref="D18"/>
    </sheetView>
  </sheetViews>
  <sheetFormatPr defaultColWidth="9.140625" defaultRowHeight="12.75"/>
  <cols>
    <col min="1" max="1" width="4.421875" style="6" customWidth="1"/>
    <col min="2" max="2" width="9.140625" style="6" customWidth="1"/>
    <col min="3" max="3" width="18.00390625" style="6" customWidth="1"/>
    <col min="4" max="4" width="17.28125" style="6" customWidth="1"/>
    <col min="5" max="5" width="13.421875" style="6" customWidth="1"/>
    <col min="6" max="6" width="14.28125" style="6" customWidth="1"/>
    <col min="7" max="7" width="16.28125" style="6" customWidth="1"/>
    <col min="8" max="11" width="9.140625" style="6" customWidth="1"/>
    <col min="12" max="12" width="14.140625" style="6" customWidth="1"/>
    <col min="13" max="16384" width="9.140625" style="6" customWidth="1"/>
  </cols>
  <sheetData>
    <row r="1" spans="1:8" ht="25.5" customHeight="1">
      <c r="A1" s="513" t="s">
        <v>723</v>
      </c>
      <c r="B1" s="513"/>
      <c r="C1" s="513"/>
      <c r="D1" s="513"/>
      <c r="E1" s="513"/>
      <c r="F1" s="513"/>
      <c r="G1" s="513"/>
      <c r="H1" s="52"/>
    </row>
    <row r="2" spans="1:8" ht="25.5" customHeight="1">
      <c r="A2" s="513" t="s">
        <v>679</v>
      </c>
      <c r="B2" s="513"/>
      <c r="C2" s="513"/>
      <c r="D2" s="513"/>
      <c r="E2" s="513"/>
      <c r="F2" s="513"/>
      <c r="G2" s="513"/>
      <c r="H2" s="50"/>
    </row>
    <row r="3" spans="1:8" ht="24">
      <c r="A3" s="513"/>
      <c r="B3" s="513"/>
      <c r="C3" s="513"/>
      <c r="D3" s="513"/>
      <c r="E3" s="513"/>
      <c r="F3" s="513"/>
      <c r="G3" s="513"/>
      <c r="H3" s="52"/>
    </row>
    <row r="4" s="76" customFormat="1" ht="24">
      <c r="A4" s="95" t="s">
        <v>712</v>
      </c>
    </row>
    <row r="5" spans="1:7" ht="24">
      <c r="A5" s="6" t="s">
        <v>713</v>
      </c>
      <c r="B5" s="7"/>
      <c r="C5" s="7"/>
      <c r="D5" s="7"/>
      <c r="E5" s="189"/>
      <c r="F5" s="189"/>
      <c r="G5" s="186">
        <v>13701025.72</v>
      </c>
    </row>
    <row r="6" spans="1:7" ht="24">
      <c r="A6" s="181" t="s">
        <v>28</v>
      </c>
      <c r="B6" s="6" t="s">
        <v>714</v>
      </c>
      <c r="E6" s="186"/>
      <c r="F6" s="186">
        <f>608954.1+2151000</f>
        <v>2759954.1</v>
      </c>
      <c r="G6" s="186"/>
    </row>
    <row r="7" spans="1:7" ht="24">
      <c r="A7" s="181"/>
      <c r="B7" s="6" t="s">
        <v>715</v>
      </c>
      <c r="E7" s="186"/>
      <c r="F7" s="333">
        <f>1460015.31</f>
        <v>1460015.31</v>
      </c>
      <c r="G7" s="186"/>
    </row>
    <row r="8" spans="2:7" ht="24">
      <c r="B8" s="6" t="s">
        <v>711</v>
      </c>
      <c r="E8" s="186"/>
      <c r="F8" s="333">
        <v>6846528.3</v>
      </c>
      <c r="G8" s="333">
        <f>SUM(F6:F8)</f>
        <v>11066497.71</v>
      </c>
    </row>
    <row r="9" spans="2:7" ht="24.75" thickBot="1">
      <c r="B9" s="6" t="s">
        <v>716</v>
      </c>
      <c r="E9" s="186"/>
      <c r="F9" s="186"/>
      <c r="G9" s="495">
        <f>SUM(G5-G8)</f>
        <v>2634528.01</v>
      </c>
    </row>
    <row r="10" spans="5:7" ht="24.75" thickTop="1">
      <c r="E10" s="186"/>
      <c r="F10" s="186"/>
      <c r="G10" s="186"/>
    </row>
    <row r="11" spans="1:7" ht="25.5" customHeight="1">
      <c r="A11" s="513" t="s">
        <v>723</v>
      </c>
      <c r="B11" s="513"/>
      <c r="C11" s="513"/>
      <c r="D11" s="513"/>
      <c r="E11" s="513"/>
      <c r="F11" s="513"/>
      <c r="G11" s="513"/>
    </row>
    <row r="12" spans="1:7" ht="25.5" customHeight="1">
      <c r="A12" s="513" t="s">
        <v>679</v>
      </c>
      <c r="B12" s="513"/>
      <c r="C12" s="513"/>
      <c r="D12" s="513"/>
      <c r="E12" s="513"/>
      <c r="F12" s="513"/>
      <c r="G12" s="513"/>
    </row>
    <row r="13" spans="1:7" ht="24">
      <c r="A13" s="95" t="s">
        <v>717</v>
      </c>
      <c r="B13" s="50"/>
      <c r="C13" s="50"/>
      <c r="D13" s="50"/>
      <c r="E13" s="50"/>
      <c r="F13" s="50"/>
      <c r="G13" s="50"/>
    </row>
    <row r="14" spans="1:7" ht="24">
      <c r="A14" s="6" t="s">
        <v>718</v>
      </c>
      <c r="G14" s="183">
        <v>6247257.43</v>
      </c>
    </row>
    <row r="15" spans="1:6" ht="24">
      <c r="A15" s="496" t="s">
        <v>28</v>
      </c>
      <c r="B15" s="6" t="s">
        <v>177</v>
      </c>
      <c r="E15" s="53"/>
      <c r="F15" s="53">
        <v>923897.37</v>
      </c>
    </row>
    <row r="16" spans="1:6" ht="24">
      <c r="A16" s="34"/>
      <c r="B16" s="6" t="s">
        <v>719</v>
      </c>
      <c r="E16" s="53"/>
      <c r="F16" s="53">
        <v>10017</v>
      </c>
    </row>
    <row r="17" spans="1:6" ht="24">
      <c r="A17" s="34"/>
      <c r="B17" s="6" t="s">
        <v>720</v>
      </c>
      <c r="E17" s="53"/>
      <c r="F17" s="53">
        <f>177648.05</f>
        <v>177648.05</v>
      </c>
    </row>
    <row r="18" spans="1:6" ht="24">
      <c r="A18" s="34"/>
      <c r="B18" s="6" t="s">
        <v>235</v>
      </c>
      <c r="E18" s="53"/>
      <c r="F18" s="53">
        <v>350167</v>
      </c>
    </row>
    <row r="19" spans="1:7" ht="24">
      <c r="A19" s="34"/>
      <c r="B19" s="6" t="s">
        <v>608</v>
      </c>
      <c r="E19" s="53"/>
      <c r="F19" s="60">
        <v>2151000</v>
      </c>
      <c r="G19" s="333">
        <f>SUM(F15:F19)</f>
        <v>3612729.42</v>
      </c>
    </row>
    <row r="20" spans="1:7" ht="24.75" thickBot="1">
      <c r="A20" s="34"/>
      <c r="B20" s="6" t="s">
        <v>716</v>
      </c>
      <c r="E20" s="437"/>
      <c r="F20" s="437"/>
      <c r="G20" s="495">
        <f>SUM(G14-G19)</f>
        <v>2634528.01</v>
      </c>
    </row>
    <row r="21" spans="5:7" ht="24.75" thickTop="1">
      <c r="E21" s="437"/>
      <c r="F21" s="497"/>
      <c r="G21" s="76"/>
    </row>
    <row r="22" spans="1:7" ht="24">
      <c r="A22" s="524"/>
      <c r="B22" s="524"/>
      <c r="C22" s="524"/>
      <c r="D22" s="524"/>
      <c r="E22" s="524"/>
      <c r="F22" s="524"/>
      <c r="G22" s="524"/>
    </row>
    <row r="23" spans="1:7" ht="24">
      <c r="A23" s="524"/>
      <c r="B23" s="524"/>
      <c r="C23" s="524"/>
      <c r="D23" s="524"/>
      <c r="E23" s="524"/>
      <c r="F23" s="524"/>
      <c r="G23" s="524"/>
    </row>
    <row r="25" spans="1:7" ht="24">
      <c r="A25" s="6" t="s">
        <v>329</v>
      </c>
      <c r="D25" s="527" t="s">
        <v>722</v>
      </c>
      <c r="E25" s="527"/>
      <c r="F25" s="526" t="s">
        <v>721</v>
      </c>
      <c r="G25" s="526"/>
    </row>
    <row r="26" spans="1:6" ht="24">
      <c r="A26" s="6" t="s">
        <v>69</v>
      </c>
      <c r="D26" s="526" t="s">
        <v>74</v>
      </c>
      <c r="E26" s="526"/>
      <c r="F26" s="6" t="s">
        <v>70</v>
      </c>
    </row>
    <row r="27" spans="1:6" ht="24">
      <c r="A27" s="6" t="s">
        <v>71</v>
      </c>
      <c r="D27" s="526" t="s">
        <v>75</v>
      </c>
      <c r="E27" s="526"/>
      <c r="F27" s="6" t="s">
        <v>72</v>
      </c>
    </row>
    <row r="28" spans="1:2" ht="24">
      <c r="A28" s="63" t="s">
        <v>82</v>
      </c>
      <c r="B28" s="63"/>
    </row>
    <row r="29" spans="5:7" ht="24">
      <c r="E29" s="183"/>
      <c r="F29" s="183"/>
      <c r="G29" s="183"/>
    </row>
    <row r="30" spans="5:7" ht="24">
      <c r="E30" s="183"/>
      <c r="F30" s="183"/>
      <c r="G30" s="183"/>
    </row>
    <row r="40" ht="24">
      <c r="H40" s="6" t="s">
        <v>13</v>
      </c>
    </row>
    <row r="53" ht="24">
      <c r="A53" s="6" t="s">
        <v>36</v>
      </c>
    </row>
  </sheetData>
  <sheetProtection/>
  <mergeCells count="11">
    <mergeCell ref="A12:G12"/>
    <mergeCell ref="D26:E26"/>
    <mergeCell ref="D25:E25"/>
    <mergeCell ref="D27:E27"/>
    <mergeCell ref="F25:G25"/>
    <mergeCell ref="A1:G1"/>
    <mergeCell ref="A2:G2"/>
    <mergeCell ref="A3:G3"/>
    <mergeCell ref="A22:G22"/>
    <mergeCell ref="A23:G23"/>
    <mergeCell ref="A11:G11"/>
  </mergeCells>
  <printOptions/>
  <pageMargins left="0.56" right="0.28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L45"/>
  <sheetViews>
    <sheetView zoomScalePageLayoutView="0" workbookViewId="0" topLeftCell="A31">
      <selection activeCell="D14" sqref="D14"/>
    </sheetView>
  </sheetViews>
  <sheetFormatPr defaultColWidth="9.140625" defaultRowHeight="12.75"/>
  <cols>
    <col min="1" max="1" width="11.00390625" style="6" customWidth="1"/>
    <col min="2" max="2" width="23.421875" style="6" customWidth="1"/>
    <col min="3" max="3" width="37.140625" style="6" customWidth="1"/>
    <col min="4" max="4" width="16.8515625" style="6" customWidth="1"/>
    <col min="5" max="5" width="12.421875" style="6" customWidth="1"/>
    <col min="6" max="7" width="12.57421875" style="6" customWidth="1"/>
    <col min="8" max="8" width="14.57421875" style="6" customWidth="1"/>
    <col min="9" max="16384" width="9.140625" style="6" customWidth="1"/>
  </cols>
  <sheetData>
    <row r="1" spans="1:8" ht="24">
      <c r="A1" s="513" t="s">
        <v>498</v>
      </c>
      <c r="B1" s="513"/>
      <c r="C1" s="513"/>
      <c r="D1" s="513"/>
      <c r="E1" s="513"/>
      <c r="F1" s="513"/>
      <c r="G1" s="513"/>
      <c r="H1" s="513"/>
    </row>
    <row r="2" spans="1:8" ht="24">
      <c r="A2" s="513" t="s">
        <v>137</v>
      </c>
      <c r="B2" s="513"/>
      <c r="C2" s="513"/>
      <c r="D2" s="513"/>
      <c r="E2" s="513"/>
      <c r="F2" s="513"/>
      <c r="G2" s="513"/>
      <c r="H2" s="513"/>
    </row>
    <row r="3" spans="1:8" ht="24">
      <c r="A3" s="513" t="s">
        <v>508</v>
      </c>
      <c r="B3" s="513"/>
      <c r="C3" s="513"/>
      <c r="D3" s="513"/>
      <c r="E3" s="513"/>
      <c r="F3" s="513"/>
      <c r="G3" s="513"/>
      <c r="H3" s="513"/>
    </row>
    <row r="4" spans="1:8" ht="24">
      <c r="A4" s="6" t="s">
        <v>673</v>
      </c>
      <c r="H4" s="440"/>
    </row>
    <row r="5" spans="1:90" s="264" customFormat="1" ht="24">
      <c r="A5" s="555" t="s">
        <v>516</v>
      </c>
      <c r="B5" s="555" t="s">
        <v>517</v>
      </c>
      <c r="C5" s="555" t="s">
        <v>518</v>
      </c>
      <c r="D5" s="258" t="s">
        <v>614</v>
      </c>
      <c r="E5" s="258" t="s">
        <v>32</v>
      </c>
      <c r="F5" s="258" t="s">
        <v>31</v>
      </c>
      <c r="G5" s="555" t="s">
        <v>27</v>
      </c>
      <c r="H5" s="258" t="s">
        <v>37</v>
      </c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</row>
    <row r="6" spans="1:90" s="264" customFormat="1" ht="24">
      <c r="A6" s="556"/>
      <c r="B6" s="556"/>
      <c r="C6" s="556"/>
      <c r="D6" s="258" t="s">
        <v>615</v>
      </c>
      <c r="E6" s="258" t="s">
        <v>616</v>
      </c>
      <c r="F6" s="258" t="s">
        <v>616</v>
      </c>
      <c r="G6" s="556"/>
      <c r="H6" s="258" t="s">
        <v>38</v>
      </c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</row>
    <row r="7" spans="1:8" ht="22.5" customHeight="1">
      <c r="A7" s="441" t="s">
        <v>21</v>
      </c>
      <c r="B7" s="442" t="s">
        <v>617</v>
      </c>
      <c r="C7" s="271" t="s">
        <v>618</v>
      </c>
      <c r="D7" s="443">
        <v>270000</v>
      </c>
      <c r="E7" s="444">
        <v>266455</v>
      </c>
      <c r="F7" s="443">
        <v>266455</v>
      </c>
      <c r="G7" s="445">
        <f aca="true" t="shared" si="0" ref="G7:G23">SUM(D7-F7)</f>
        <v>3545</v>
      </c>
      <c r="H7" s="258"/>
    </row>
    <row r="8" spans="1:8" ht="22.5" customHeight="1">
      <c r="A8" s="46" t="s">
        <v>7</v>
      </c>
      <c r="B8" s="36" t="s">
        <v>619</v>
      </c>
      <c r="C8" s="446" t="s">
        <v>620</v>
      </c>
      <c r="D8" s="447">
        <v>7500</v>
      </c>
      <c r="E8" s="447">
        <v>7500</v>
      </c>
      <c r="F8" s="447">
        <v>7500</v>
      </c>
      <c r="G8" s="67">
        <f t="shared" si="0"/>
        <v>0</v>
      </c>
      <c r="H8" s="67"/>
    </row>
    <row r="9" spans="1:8" ht="22.5" customHeight="1">
      <c r="A9" s="38"/>
      <c r="B9" s="36" t="s">
        <v>621</v>
      </c>
      <c r="C9" s="36" t="s">
        <v>622</v>
      </c>
      <c r="D9" s="67"/>
      <c r="E9" s="67"/>
      <c r="F9" s="67"/>
      <c r="G9" s="67">
        <f t="shared" si="0"/>
        <v>0</v>
      </c>
      <c r="H9" s="67"/>
    </row>
    <row r="10" spans="1:8" ht="22.5" customHeight="1">
      <c r="A10" s="38"/>
      <c r="B10" s="36" t="s">
        <v>623</v>
      </c>
      <c r="C10" s="36" t="s">
        <v>624</v>
      </c>
      <c r="D10" s="67"/>
      <c r="E10" s="67"/>
      <c r="F10" s="67"/>
      <c r="G10" s="67">
        <f t="shared" si="0"/>
        <v>0</v>
      </c>
      <c r="H10" s="67"/>
    </row>
    <row r="11" spans="1:8" ht="22.5" customHeight="1">
      <c r="A11" s="39"/>
      <c r="B11" s="37" t="s">
        <v>625</v>
      </c>
      <c r="C11" s="448"/>
      <c r="D11" s="449"/>
      <c r="E11" s="449"/>
      <c r="F11" s="449"/>
      <c r="G11" s="450">
        <f t="shared" si="0"/>
        <v>0</v>
      </c>
      <c r="H11" s="449"/>
    </row>
    <row r="12" spans="1:8" ht="22.5" customHeight="1">
      <c r="A12" s="46" t="s">
        <v>7</v>
      </c>
      <c r="B12" s="36" t="s">
        <v>619</v>
      </c>
      <c r="C12" s="446" t="s">
        <v>620</v>
      </c>
      <c r="D12" s="447">
        <v>18000</v>
      </c>
      <c r="E12" s="447">
        <v>18000</v>
      </c>
      <c r="F12" s="447">
        <v>18000</v>
      </c>
      <c r="G12" s="67">
        <f t="shared" si="0"/>
        <v>0</v>
      </c>
      <c r="H12" s="67"/>
    </row>
    <row r="13" spans="1:8" ht="22.5" customHeight="1">
      <c r="A13" s="38"/>
      <c r="B13" s="36" t="s">
        <v>621</v>
      </c>
      <c r="C13" s="36" t="s">
        <v>626</v>
      </c>
      <c r="D13" s="67"/>
      <c r="E13" s="67"/>
      <c r="F13" s="67"/>
      <c r="G13" s="67">
        <f t="shared" si="0"/>
        <v>0</v>
      </c>
      <c r="H13" s="67"/>
    </row>
    <row r="14" spans="1:8" ht="22.5" customHeight="1">
      <c r="A14" s="38"/>
      <c r="B14" s="36" t="s">
        <v>623</v>
      </c>
      <c r="C14" s="36" t="s">
        <v>627</v>
      </c>
      <c r="D14" s="67"/>
      <c r="E14" s="67"/>
      <c r="F14" s="67"/>
      <c r="G14" s="67">
        <f t="shared" si="0"/>
        <v>0</v>
      </c>
      <c r="H14" s="67"/>
    </row>
    <row r="15" spans="1:8" ht="22.5" customHeight="1">
      <c r="A15" s="39"/>
      <c r="B15" s="37" t="s">
        <v>625</v>
      </c>
      <c r="C15" s="37"/>
      <c r="D15" s="449"/>
      <c r="E15" s="449"/>
      <c r="F15" s="449"/>
      <c r="G15" s="450">
        <f t="shared" si="0"/>
        <v>0</v>
      </c>
      <c r="H15" s="449"/>
    </row>
    <row r="16" spans="1:8" ht="22.5" customHeight="1">
      <c r="A16" s="46" t="s">
        <v>7</v>
      </c>
      <c r="B16" s="36" t="s">
        <v>619</v>
      </c>
      <c r="C16" s="446" t="s">
        <v>628</v>
      </c>
      <c r="D16" s="447">
        <v>9600</v>
      </c>
      <c r="E16" s="447">
        <v>9600</v>
      </c>
      <c r="F16" s="447">
        <v>9600</v>
      </c>
      <c r="G16" s="67">
        <f t="shared" si="0"/>
        <v>0</v>
      </c>
      <c r="H16" s="67"/>
    </row>
    <row r="17" spans="1:8" ht="22.5" customHeight="1">
      <c r="A17" s="38"/>
      <c r="B17" s="36" t="s">
        <v>621</v>
      </c>
      <c r="C17" s="36" t="s">
        <v>629</v>
      </c>
      <c r="D17" s="67"/>
      <c r="E17" s="67"/>
      <c r="F17" s="67"/>
      <c r="G17" s="67">
        <f t="shared" si="0"/>
        <v>0</v>
      </c>
      <c r="H17" s="67"/>
    </row>
    <row r="18" spans="1:8" ht="22.5" customHeight="1">
      <c r="A18" s="38"/>
      <c r="B18" s="36" t="s">
        <v>623</v>
      </c>
      <c r="C18" s="36" t="s">
        <v>630</v>
      </c>
      <c r="D18" s="67"/>
      <c r="E18" s="67"/>
      <c r="F18" s="67"/>
      <c r="G18" s="67">
        <f t="shared" si="0"/>
        <v>0</v>
      </c>
      <c r="H18" s="67"/>
    </row>
    <row r="19" spans="1:8" ht="22.5" customHeight="1">
      <c r="A19" s="38"/>
      <c r="B19" s="36" t="s">
        <v>625</v>
      </c>
      <c r="C19" s="36"/>
      <c r="D19" s="67"/>
      <c r="E19" s="67"/>
      <c r="F19" s="67"/>
      <c r="G19" s="451">
        <f t="shared" si="0"/>
        <v>0</v>
      </c>
      <c r="H19" s="67"/>
    </row>
    <row r="20" spans="1:8" ht="22.5" customHeight="1">
      <c r="A20" s="452" t="s">
        <v>7</v>
      </c>
      <c r="B20" s="79" t="s">
        <v>619</v>
      </c>
      <c r="C20" s="453" t="s">
        <v>631</v>
      </c>
      <c r="D20" s="447">
        <v>8000</v>
      </c>
      <c r="E20" s="447">
        <v>7904</v>
      </c>
      <c r="F20" s="447">
        <v>7904</v>
      </c>
      <c r="G20" s="447">
        <f t="shared" si="0"/>
        <v>96</v>
      </c>
      <c r="H20" s="447"/>
    </row>
    <row r="21" spans="1:8" ht="22.5" customHeight="1">
      <c r="A21" s="38"/>
      <c r="B21" s="36" t="s">
        <v>621</v>
      </c>
      <c r="C21" s="36" t="s">
        <v>632</v>
      </c>
      <c r="D21" s="67"/>
      <c r="E21" s="67"/>
      <c r="F21" s="67"/>
      <c r="G21" s="67">
        <f t="shared" si="0"/>
        <v>0</v>
      </c>
      <c r="H21" s="67"/>
    </row>
    <row r="22" spans="1:8" ht="22.5" customHeight="1">
      <c r="A22" s="38"/>
      <c r="B22" s="36" t="s">
        <v>623</v>
      </c>
      <c r="C22" s="36"/>
      <c r="D22" s="67"/>
      <c r="E22" s="67"/>
      <c r="F22" s="67"/>
      <c r="G22" s="67">
        <f t="shared" si="0"/>
        <v>0</v>
      </c>
      <c r="H22" s="67"/>
    </row>
    <row r="23" spans="1:8" ht="22.5" customHeight="1">
      <c r="A23" s="38"/>
      <c r="B23" s="36" t="s">
        <v>625</v>
      </c>
      <c r="C23" s="36"/>
      <c r="D23" s="67"/>
      <c r="E23" s="67"/>
      <c r="F23" s="67"/>
      <c r="G23" s="67">
        <f t="shared" si="0"/>
        <v>0</v>
      </c>
      <c r="H23" s="67"/>
    </row>
    <row r="24" spans="1:8" ht="22.5" customHeight="1">
      <c r="A24" s="37"/>
      <c r="B24" s="454"/>
      <c r="C24" s="454"/>
      <c r="D24" s="449"/>
      <c r="E24" s="449"/>
      <c r="F24" s="449"/>
      <c r="G24" s="449"/>
      <c r="H24" s="449"/>
    </row>
    <row r="25" spans="1:8" ht="24">
      <c r="A25" s="76"/>
      <c r="B25" s="47"/>
      <c r="C25" s="47"/>
      <c r="D25" s="380"/>
      <c r="E25" s="380"/>
      <c r="F25" s="380"/>
      <c r="G25" s="380"/>
      <c r="H25" s="455" t="s">
        <v>274</v>
      </c>
    </row>
    <row r="26" spans="1:8" ht="24">
      <c r="A26" s="555" t="s">
        <v>516</v>
      </c>
      <c r="B26" s="555" t="s">
        <v>517</v>
      </c>
      <c r="C26" s="555" t="s">
        <v>518</v>
      </c>
      <c r="D26" s="258" t="s">
        <v>614</v>
      </c>
      <c r="E26" s="258" t="s">
        <v>32</v>
      </c>
      <c r="F26" s="258" t="s">
        <v>31</v>
      </c>
      <c r="G26" s="555" t="s">
        <v>27</v>
      </c>
      <c r="H26" s="258" t="s">
        <v>37</v>
      </c>
    </row>
    <row r="27" spans="1:8" ht="24">
      <c r="A27" s="556"/>
      <c r="B27" s="556"/>
      <c r="C27" s="556"/>
      <c r="D27" s="258" t="s">
        <v>615</v>
      </c>
      <c r="E27" s="258" t="s">
        <v>616</v>
      </c>
      <c r="F27" s="258" t="s">
        <v>616</v>
      </c>
      <c r="G27" s="556"/>
      <c r="H27" s="258" t="s">
        <v>38</v>
      </c>
    </row>
    <row r="28" spans="1:8" ht="23.25" customHeight="1">
      <c r="A28" s="46" t="s">
        <v>7</v>
      </c>
      <c r="B28" s="36" t="s">
        <v>619</v>
      </c>
      <c r="C28" s="446" t="s">
        <v>633</v>
      </c>
      <c r="D28" s="447">
        <v>9000</v>
      </c>
      <c r="E28" s="447">
        <v>3664</v>
      </c>
      <c r="F28" s="447">
        <v>3664</v>
      </c>
      <c r="G28" s="67">
        <f>SUM(D28-F28)</f>
        <v>5336</v>
      </c>
      <c r="H28" s="67">
        <v>0</v>
      </c>
    </row>
    <row r="29" spans="1:8" ht="23.25" customHeight="1">
      <c r="A29" s="38"/>
      <c r="B29" s="36" t="s">
        <v>621</v>
      </c>
      <c r="C29" s="36" t="s">
        <v>634</v>
      </c>
      <c r="D29" s="67"/>
      <c r="E29" s="67"/>
      <c r="F29" s="67"/>
      <c r="G29" s="67"/>
      <c r="H29" s="67"/>
    </row>
    <row r="30" spans="1:8" ht="23.25" customHeight="1">
      <c r="A30" s="38"/>
      <c r="B30" s="36" t="s">
        <v>623</v>
      </c>
      <c r="C30" s="36" t="s">
        <v>635</v>
      </c>
      <c r="D30" s="67"/>
      <c r="E30" s="67"/>
      <c r="F30" s="67"/>
      <c r="G30" s="67"/>
      <c r="H30" s="67"/>
    </row>
    <row r="31" spans="1:8" ht="23.25" customHeight="1">
      <c r="A31" s="39"/>
      <c r="B31" s="37" t="s">
        <v>625</v>
      </c>
      <c r="C31" s="448"/>
      <c r="D31" s="449"/>
      <c r="E31" s="449"/>
      <c r="F31" s="449"/>
      <c r="G31" s="450"/>
      <c r="H31" s="449"/>
    </row>
    <row r="32" spans="1:8" ht="23.25" customHeight="1">
      <c r="A32" s="46" t="s">
        <v>636</v>
      </c>
      <c r="B32" s="36" t="s">
        <v>637</v>
      </c>
      <c r="C32" s="446" t="s">
        <v>638</v>
      </c>
      <c r="D32" s="447">
        <v>1500</v>
      </c>
      <c r="E32" s="447">
        <v>1500</v>
      </c>
      <c r="F32" s="447">
        <v>1083.6</v>
      </c>
      <c r="G32" s="67">
        <f>SUM(D32-F32)</f>
        <v>416.4000000000001</v>
      </c>
      <c r="H32" s="67">
        <v>0</v>
      </c>
    </row>
    <row r="33" spans="1:8" ht="23.25" customHeight="1">
      <c r="A33" s="38" t="s">
        <v>587</v>
      </c>
      <c r="B33" s="36" t="s">
        <v>639</v>
      </c>
      <c r="C33" s="36" t="s">
        <v>640</v>
      </c>
      <c r="D33" s="67"/>
      <c r="E33" s="67"/>
      <c r="F33" s="67"/>
      <c r="G33" s="67"/>
      <c r="H33" s="67"/>
    </row>
    <row r="34" spans="1:8" ht="23.25" customHeight="1">
      <c r="A34" s="38"/>
      <c r="B34" s="36"/>
      <c r="C34" s="36" t="s">
        <v>641</v>
      </c>
      <c r="D34" s="67"/>
      <c r="E34" s="67"/>
      <c r="F34" s="67"/>
      <c r="G34" s="67"/>
      <c r="H34" s="67"/>
    </row>
    <row r="35" spans="1:8" ht="23.25" customHeight="1">
      <c r="A35" s="39"/>
      <c r="B35" s="37"/>
      <c r="C35" s="37"/>
      <c r="D35" s="449"/>
      <c r="E35" s="449"/>
      <c r="F35" s="449"/>
      <c r="G35" s="450"/>
      <c r="H35" s="449"/>
    </row>
    <row r="36" spans="1:8" ht="23.25" customHeight="1">
      <c r="A36" s="46" t="s">
        <v>636</v>
      </c>
      <c r="B36" s="36" t="s">
        <v>637</v>
      </c>
      <c r="C36" s="446" t="s">
        <v>631</v>
      </c>
      <c r="D36" s="447">
        <v>83200</v>
      </c>
      <c r="E36" s="447">
        <v>82920</v>
      </c>
      <c r="F36" s="447">
        <v>82920</v>
      </c>
      <c r="G36" s="67">
        <f>SUM(D36-F36)</f>
        <v>280</v>
      </c>
      <c r="H36" s="67">
        <v>0</v>
      </c>
    </row>
    <row r="37" spans="1:8" ht="23.25" customHeight="1">
      <c r="A37" s="38" t="s">
        <v>587</v>
      </c>
      <c r="B37" s="36" t="s">
        <v>639</v>
      </c>
      <c r="C37" s="36" t="s">
        <v>642</v>
      </c>
      <c r="D37" s="67"/>
      <c r="E37" s="67"/>
      <c r="F37" s="67"/>
      <c r="G37" s="67">
        <f>SUM(D37-F37)</f>
        <v>0</v>
      </c>
      <c r="H37" s="67"/>
    </row>
    <row r="38" spans="1:8" ht="23.25" customHeight="1">
      <c r="A38" s="38"/>
      <c r="B38" s="36"/>
      <c r="C38" s="36" t="s">
        <v>51</v>
      </c>
      <c r="D38" s="67"/>
      <c r="E38" s="67"/>
      <c r="F38" s="67"/>
      <c r="G38" s="67">
        <f>SUM(D38-F38)</f>
        <v>0</v>
      </c>
      <c r="H38" s="67"/>
    </row>
    <row r="39" spans="1:8" ht="23.25" customHeight="1">
      <c r="A39" s="39"/>
      <c r="B39" s="37"/>
      <c r="C39" s="37"/>
      <c r="D39" s="449"/>
      <c r="E39" s="449"/>
      <c r="F39" s="449"/>
      <c r="G39" s="450"/>
      <c r="H39" s="449"/>
    </row>
    <row r="40" spans="1:8" ht="23.25" customHeight="1">
      <c r="A40" s="38" t="s">
        <v>7</v>
      </c>
      <c r="B40" s="36" t="s">
        <v>619</v>
      </c>
      <c r="C40" s="446" t="s">
        <v>643</v>
      </c>
      <c r="D40" s="447">
        <v>31500</v>
      </c>
      <c r="E40" s="447">
        <v>31500</v>
      </c>
      <c r="F40" s="447">
        <v>31500</v>
      </c>
      <c r="G40" s="67">
        <f>SUM(D40-F40)</f>
        <v>0</v>
      </c>
      <c r="H40" s="67">
        <v>0</v>
      </c>
    </row>
    <row r="41" spans="1:8" ht="23.25" customHeight="1">
      <c r="A41" s="38"/>
      <c r="B41" s="36" t="s">
        <v>621</v>
      </c>
      <c r="C41" s="36" t="s">
        <v>644</v>
      </c>
      <c r="D41" s="67"/>
      <c r="E41" s="67"/>
      <c r="F41" s="67"/>
      <c r="G41" s="451"/>
      <c r="H41" s="67"/>
    </row>
    <row r="42" spans="1:8" ht="23.25" customHeight="1">
      <c r="A42" s="38"/>
      <c r="B42" s="36" t="s">
        <v>623</v>
      </c>
      <c r="C42" s="36"/>
      <c r="D42" s="67"/>
      <c r="E42" s="67"/>
      <c r="F42" s="67"/>
      <c r="G42" s="451"/>
      <c r="H42" s="67"/>
    </row>
    <row r="43" spans="1:8" s="76" customFormat="1" ht="23.25" customHeight="1">
      <c r="A43" s="38"/>
      <c r="B43" s="36" t="s">
        <v>625</v>
      </c>
      <c r="C43" s="36"/>
      <c r="D43" s="67"/>
      <c r="E43" s="67"/>
      <c r="F43" s="67"/>
      <c r="G43" s="67"/>
      <c r="H43" s="67"/>
    </row>
    <row r="44" spans="1:8" ht="23.25" customHeight="1">
      <c r="A44" s="39"/>
      <c r="B44" s="37"/>
      <c r="C44" s="36"/>
      <c r="D44" s="449"/>
      <c r="E44" s="449"/>
      <c r="F44" s="449"/>
      <c r="G44" s="450">
        <f>SUM(D44-F44)</f>
        <v>0</v>
      </c>
      <c r="H44" s="449"/>
    </row>
    <row r="45" spans="1:8" ht="23.25" customHeight="1" thickBot="1">
      <c r="A45" s="456"/>
      <c r="B45" s="457" t="s">
        <v>30</v>
      </c>
      <c r="C45" s="457"/>
      <c r="D45" s="458">
        <f>SUM(D7:D44)</f>
        <v>438300</v>
      </c>
      <c r="E45" s="458">
        <f>SUM(E7:E44)</f>
        <v>429043</v>
      </c>
      <c r="F45" s="458">
        <f>SUM(F7:F44)</f>
        <v>428626.6</v>
      </c>
      <c r="G45" s="458">
        <f>SUM(G7:G44)</f>
        <v>9673.4</v>
      </c>
      <c r="H45" s="458">
        <f>SUM(H28:H44)</f>
        <v>0</v>
      </c>
    </row>
    <row r="46" ht="24.75" thickTop="1"/>
  </sheetData>
  <sheetProtection/>
  <mergeCells count="11">
    <mergeCell ref="A26:A27"/>
    <mergeCell ref="B26:B27"/>
    <mergeCell ref="C26:C27"/>
    <mergeCell ref="G26:G27"/>
    <mergeCell ref="A1:H1"/>
    <mergeCell ref="A2:H2"/>
    <mergeCell ref="A3:H3"/>
    <mergeCell ref="A5:A6"/>
    <mergeCell ref="B5:B6"/>
    <mergeCell ref="C5:C6"/>
    <mergeCell ref="G5:G6"/>
  </mergeCells>
  <printOptions/>
  <pageMargins left="0.7086614173228347" right="0.15" top="0.54" bottom="0.32" header="0.31496062992125984" footer="0.16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421875" style="6" customWidth="1"/>
    <col min="2" max="2" width="9.140625" style="6" customWidth="1"/>
    <col min="3" max="3" width="18.00390625" style="6" customWidth="1"/>
    <col min="4" max="4" width="6.421875" style="6" customWidth="1"/>
    <col min="5" max="5" width="15.28125" style="6" customWidth="1"/>
    <col min="6" max="6" width="15.140625" style="6" customWidth="1"/>
    <col min="7" max="7" width="6.7109375" style="6" customWidth="1"/>
    <col min="8" max="8" width="21.140625" style="6" customWidth="1"/>
    <col min="9" max="12" width="9.140625" style="6" customWidth="1"/>
    <col min="13" max="13" width="14.140625" style="6" customWidth="1"/>
    <col min="14" max="16384" width="9.140625" style="6" customWidth="1"/>
  </cols>
  <sheetData>
    <row r="1" spans="1:9" ht="25.5" customHeight="1">
      <c r="A1" s="513" t="s">
        <v>723</v>
      </c>
      <c r="B1" s="513"/>
      <c r="C1" s="513"/>
      <c r="D1" s="513"/>
      <c r="E1" s="513"/>
      <c r="F1" s="513"/>
      <c r="G1" s="513"/>
      <c r="H1" s="513"/>
      <c r="I1" s="52"/>
    </row>
    <row r="2" spans="1:9" ht="25.5" customHeight="1">
      <c r="A2" s="513" t="s">
        <v>137</v>
      </c>
      <c r="B2" s="513"/>
      <c r="C2" s="513"/>
      <c r="D2" s="513"/>
      <c r="E2" s="513"/>
      <c r="F2" s="513"/>
      <c r="G2" s="513"/>
      <c r="H2" s="513"/>
      <c r="I2" s="50"/>
    </row>
    <row r="3" spans="1:9" ht="25.5" customHeight="1">
      <c r="A3" s="513" t="s">
        <v>508</v>
      </c>
      <c r="B3" s="513"/>
      <c r="C3" s="513"/>
      <c r="D3" s="513"/>
      <c r="E3" s="513"/>
      <c r="F3" s="513"/>
      <c r="G3" s="513"/>
      <c r="H3" s="513"/>
      <c r="I3" s="52"/>
    </row>
    <row r="4" s="76" customFormat="1" ht="25.5" customHeight="1">
      <c r="A4" s="95" t="s">
        <v>672</v>
      </c>
    </row>
    <row r="5" spans="1:8" ht="24">
      <c r="A5" s="7" t="s">
        <v>670</v>
      </c>
      <c r="B5" s="7"/>
      <c r="C5" s="7"/>
      <c r="D5" s="7"/>
      <c r="E5" s="7"/>
      <c r="F5" s="189"/>
      <c r="G5" s="189"/>
      <c r="H5" s="189">
        <v>9143378.35</v>
      </c>
    </row>
    <row r="6" spans="1:8" ht="24">
      <c r="A6" s="69"/>
      <c r="B6" s="6" t="s">
        <v>68</v>
      </c>
      <c r="F6" s="186"/>
      <c r="G6" s="186">
        <v>0</v>
      </c>
      <c r="H6" s="186"/>
    </row>
    <row r="7" spans="1:8" ht="24">
      <c r="A7" s="7" t="s">
        <v>730</v>
      </c>
      <c r="F7" s="379">
        <f>SUM(G6*25/100)</f>
        <v>0</v>
      </c>
      <c r="G7" s="186"/>
      <c r="H7" s="186"/>
    </row>
    <row r="8" spans="1:8" ht="24">
      <c r="A8" s="69" t="s">
        <v>33</v>
      </c>
      <c r="B8" s="6" t="s">
        <v>134</v>
      </c>
      <c r="F8" s="186">
        <v>1033649.95</v>
      </c>
      <c r="G8" s="186">
        <f>SUM(G6-F7)</f>
        <v>0</v>
      </c>
      <c r="H8" s="186"/>
    </row>
    <row r="9" spans="2:8" ht="24">
      <c r="B9" s="6" t="s">
        <v>671</v>
      </c>
      <c r="F9" s="186"/>
      <c r="G9" s="333">
        <v>0</v>
      </c>
      <c r="H9" s="333">
        <f>SUM(G8:G9)</f>
        <v>0</v>
      </c>
    </row>
    <row r="10" spans="6:8" ht="24">
      <c r="F10" s="186"/>
      <c r="G10" s="186"/>
      <c r="H10" s="186">
        <f>SUM(H5+F8)</f>
        <v>10177028.299999999</v>
      </c>
    </row>
    <row r="11" spans="1:8" ht="24">
      <c r="A11" s="69" t="s">
        <v>28</v>
      </c>
      <c r="B11" s="1" t="s">
        <v>675</v>
      </c>
      <c r="F11" s="186">
        <v>3330500</v>
      </c>
      <c r="G11" s="186"/>
      <c r="H11" s="189"/>
    </row>
    <row r="12" spans="6:8" ht="24">
      <c r="F12" s="186"/>
      <c r="G12" s="186"/>
      <c r="H12" s="189">
        <f>SUM(F11:F11)</f>
        <v>3330500</v>
      </c>
    </row>
    <row r="13" spans="2:8" ht="24.75" thickBot="1">
      <c r="B13" s="7" t="s">
        <v>674</v>
      </c>
      <c r="C13" s="7"/>
      <c r="D13" s="7"/>
      <c r="E13" s="7"/>
      <c r="F13" s="189"/>
      <c r="G13" s="186"/>
      <c r="H13" s="187">
        <f>SUM(H10-H12)</f>
        <v>6846528.299999999</v>
      </c>
    </row>
    <row r="14" spans="2:8" ht="24.75" thickTop="1">
      <c r="B14" s="7"/>
      <c r="C14" s="7"/>
      <c r="D14" s="7"/>
      <c r="E14" s="7"/>
      <c r="F14" s="189"/>
      <c r="G14" s="186"/>
      <c r="H14" s="334"/>
    </row>
    <row r="15" ht="24">
      <c r="M15" s="87"/>
    </row>
    <row r="16" spans="1:8" s="76" customFormat="1" ht="24">
      <c r="A16" s="524" t="s">
        <v>611</v>
      </c>
      <c r="B16" s="524"/>
      <c r="C16" s="524"/>
      <c r="D16" s="524"/>
      <c r="E16" s="524"/>
      <c r="F16" s="524"/>
      <c r="G16" s="524"/>
      <c r="H16" s="524"/>
    </row>
    <row r="17" spans="1:8" s="76" customFormat="1" ht="24">
      <c r="A17" s="524" t="s">
        <v>612</v>
      </c>
      <c r="B17" s="524"/>
      <c r="C17" s="524"/>
      <c r="D17" s="524"/>
      <c r="E17" s="524"/>
      <c r="F17" s="524"/>
      <c r="G17" s="524"/>
      <c r="H17" s="524"/>
    </row>
    <row r="18" spans="1:6" s="76" customFormat="1" ht="24">
      <c r="A18" s="40"/>
      <c r="F18" s="54"/>
    </row>
    <row r="21" spans="1:7" ht="24">
      <c r="A21" s="6" t="s">
        <v>69</v>
      </c>
      <c r="E21" s="6" t="s">
        <v>74</v>
      </c>
      <c r="G21" s="6" t="s">
        <v>70</v>
      </c>
    </row>
    <row r="22" spans="1:7" ht="24">
      <c r="A22" s="6" t="s">
        <v>71</v>
      </c>
      <c r="E22" s="6" t="s">
        <v>75</v>
      </c>
      <c r="G22" s="6" t="s">
        <v>72</v>
      </c>
    </row>
    <row r="23" spans="1:2" ht="24">
      <c r="A23" s="63" t="s">
        <v>82</v>
      </c>
      <c r="B23" s="63"/>
    </row>
    <row r="24" spans="6:8" ht="24">
      <c r="F24" s="183"/>
      <c r="G24" s="183"/>
      <c r="H24" s="183"/>
    </row>
    <row r="25" spans="6:8" ht="24">
      <c r="F25" s="183"/>
      <c r="G25" s="183"/>
      <c r="H25" s="183"/>
    </row>
    <row r="35" ht="24">
      <c r="I35" s="6" t="s">
        <v>13</v>
      </c>
    </row>
    <row r="36" ht="24">
      <c r="A36" s="6" t="s">
        <v>35</v>
      </c>
    </row>
    <row r="48" ht="24">
      <c r="A48" s="6" t="s">
        <v>36</v>
      </c>
    </row>
  </sheetData>
  <sheetProtection/>
  <mergeCells count="5">
    <mergeCell ref="A1:H1"/>
    <mergeCell ref="A2:H2"/>
    <mergeCell ref="A3:H3"/>
    <mergeCell ref="A16:H16"/>
    <mergeCell ref="A17:H17"/>
  </mergeCells>
  <printOptions/>
  <pageMargins left="0.38" right="0.38" top="0.94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L56"/>
  <sheetViews>
    <sheetView zoomScalePageLayoutView="0" workbookViewId="0" topLeftCell="A1">
      <selection activeCell="F61" sqref="F61"/>
    </sheetView>
  </sheetViews>
  <sheetFormatPr defaultColWidth="9.140625" defaultRowHeight="12.75"/>
  <cols>
    <col min="1" max="1" width="11.00390625" style="6" customWidth="1"/>
    <col min="2" max="2" width="22.8515625" style="6" customWidth="1"/>
    <col min="3" max="3" width="38.140625" style="6" customWidth="1"/>
    <col min="4" max="4" width="15.140625" style="6" customWidth="1"/>
    <col min="5" max="5" width="14.140625" style="6" customWidth="1"/>
    <col min="6" max="6" width="14.7109375" style="6" customWidth="1"/>
    <col min="7" max="7" width="13.140625" style="6" customWidth="1"/>
    <col min="8" max="8" width="12.00390625" style="6" customWidth="1"/>
    <col min="9" max="16384" width="9.140625" style="6" customWidth="1"/>
  </cols>
  <sheetData>
    <row r="1" spans="1:8" ht="24">
      <c r="A1" s="513" t="s">
        <v>498</v>
      </c>
      <c r="B1" s="513"/>
      <c r="C1" s="513"/>
      <c r="D1" s="513"/>
      <c r="E1" s="513"/>
      <c r="F1" s="513"/>
      <c r="G1" s="513"/>
      <c r="H1" s="513"/>
    </row>
    <row r="2" spans="1:8" ht="24">
      <c r="A2" s="513" t="s">
        <v>137</v>
      </c>
      <c r="B2" s="513"/>
      <c r="C2" s="513"/>
      <c r="D2" s="513"/>
      <c r="E2" s="513"/>
      <c r="F2" s="513"/>
      <c r="G2" s="513"/>
      <c r="H2" s="513"/>
    </row>
    <row r="3" spans="1:8" ht="24">
      <c r="A3" s="513" t="s">
        <v>508</v>
      </c>
      <c r="B3" s="513"/>
      <c r="C3" s="513"/>
      <c r="D3" s="513"/>
      <c r="E3" s="513"/>
      <c r="F3" s="513"/>
      <c r="G3" s="513"/>
      <c r="H3" s="513"/>
    </row>
    <row r="4" spans="1:8" ht="24">
      <c r="A4" s="6" t="s">
        <v>678</v>
      </c>
      <c r="H4" s="440" t="s">
        <v>613</v>
      </c>
    </row>
    <row r="5" spans="1:90" s="264" customFormat="1" ht="24">
      <c r="A5" s="555" t="s">
        <v>516</v>
      </c>
      <c r="B5" s="555" t="s">
        <v>517</v>
      </c>
      <c r="C5" s="555" t="s">
        <v>518</v>
      </c>
      <c r="D5" s="258" t="s">
        <v>15</v>
      </c>
      <c r="E5" s="258" t="s">
        <v>32</v>
      </c>
      <c r="F5" s="258" t="s">
        <v>31</v>
      </c>
      <c r="G5" s="555" t="s">
        <v>27</v>
      </c>
      <c r="H5" s="258" t="s">
        <v>37</v>
      </c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</row>
    <row r="6" spans="1:90" s="264" customFormat="1" ht="24">
      <c r="A6" s="556"/>
      <c r="B6" s="556"/>
      <c r="C6" s="556"/>
      <c r="D6" s="258" t="s">
        <v>645</v>
      </c>
      <c r="E6" s="258" t="s">
        <v>29</v>
      </c>
      <c r="F6" s="258" t="s">
        <v>29</v>
      </c>
      <c r="G6" s="556"/>
      <c r="H6" s="258" t="s">
        <v>38</v>
      </c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</row>
    <row r="7" spans="1:8" ht="24">
      <c r="A7" s="46" t="s">
        <v>636</v>
      </c>
      <c r="B7" s="36" t="s">
        <v>646</v>
      </c>
      <c r="C7" s="446" t="s">
        <v>647</v>
      </c>
      <c r="D7" s="447">
        <v>490000</v>
      </c>
      <c r="E7" s="447">
        <v>488000</v>
      </c>
      <c r="F7" s="447">
        <v>488000</v>
      </c>
      <c r="G7" s="67">
        <f>SUM(D7-F7)</f>
        <v>2000</v>
      </c>
      <c r="H7" s="67">
        <v>0</v>
      </c>
    </row>
    <row r="8" spans="1:8" ht="24">
      <c r="A8" s="38" t="s">
        <v>587</v>
      </c>
      <c r="B8" s="36"/>
      <c r="C8" s="36" t="s">
        <v>648</v>
      </c>
      <c r="D8" s="67"/>
      <c r="E8" s="67"/>
      <c r="F8" s="67"/>
      <c r="G8" s="67"/>
      <c r="H8" s="67"/>
    </row>
    <row r="9" spans="1:8" ht="24">
      <c r="A9" s="38"/>
      <c r="B9" s="36"/>
      <c r="C9" s="36" t="s">
        <v>649</v>
      </c>
      <c r="D9" s="67"/>
      <c r="E9" s="67"/>
      <c r="F9" s="67"/>
      <c r="G9" s="67"/>
      <c r="H9" s="67"/>
    </row>
    <row r="10" spans="1:8" ht="24">
      <c r="A10" s="39"/>
      <c r="B10" s="37"/>
      <c r="C10" s="448"/>
      <c r="D10" s="449"/>
      <c r="E10" s="449"/>
      <c r="F10" s="449"/>
      <c r="G10" s="450"/>
      <c r="H10" s="449"/>
    </row>
    <row r="11" spans="1:8" ht="24">
      <c r="A11" s="46" t="s">
        <v>636</v>
      </c>
      <c r="B11" s="36" t="s">
        <v>646</v>
      </c>
      <c r="C11" s="446" t="s">
        <v>650</v>
      </c>
      <c r="D11" s="447">
        <v>282000</v>
      </c>
      <c r="E11" s="447">
        <v>280000</v>
      </c>
      <c r="F11" s="447">
        <v>280000</v>
      </c>
      <c r="G11" s="67">
        <f>SUM(D11-F11)</f>
        <v>2000</v>
      </c>
      <c r="H11" s="67">
        <v>0</v>
      </c>
    </row>
    <row r="12" spans="1:8" ht="24">
      <c r="A12" s="38" t="s">
        <v>587</v>
      </c>
      <c r="B12" s="36"/>
      <c r="C12" s="36" t="s">
        <v>651</v>
      </c>
      <c r="D12" s="67"/>
      <c r="E12" s="67"/>
      <c r="F12" s="67"/>
      <c r="G12" s="67">
        <f>SUM(D12-F12)</f>
        <v>0</v>
      </c>
      <c r="H12" s="67"/>
    </row>
    <row r="13" spans="1:8" ht="24">
      <c r="A13" s="38"/>
      <c r="B13" s="36"/>
      <c r="C13" s="36" t="s">
        <v>649</v>
      </c>
      <c r="D13" s="67"/>
      <c r="E13" s="67"/>
      <c r="F13" s="67"/>
      <c r="G13" s="67">
        <f>SUM(D13-F13)</f>
        <v>0</v>
      </c>
      <c r="H13" s="67"/>
    </row>
    <row r="14" spans="1:8" ht="24">
      <c r="A14" s="39"/>
      <c r="B14" s="36"/>
      <c r="C14" s="36"/>
      <c r="D14" s="67"/>
      <c r="E14" s="67"/>
      <c r="F14" s="67"/>
      <c r="G14" s="451">
        <f>SUM(D14-F14)</f>
        <v>0</v>
      </c>
      <c r="H14" s="67"/>
    </row>
    <row r="15" spans="1:8" ht="24">
      <c r="A15" s="46" t="s">
        <v>636</v>
      </c>
      <c r="B15" s="79" t="s">
        <v>646</v>
      </c>
      <c r="C15" s="453" t="s">
        <v>652</v>
      </c>
      <c r="D15" s="447">
        <v>480000</v>
      </c>
      <c r="E15" s="447">
        <v>477000</v>
      </c>
      <c r="F15" s="447">
        <v>477000</v>
      </c>
      <c r="G15" s="447">
        <f>SUM(D15-F15)</f>
        <v>3000</v>
      </c>
      <c r="H15" s="447">
        <v>0</v>
      </c>
    </row>
    <row r="16" spans="1:8" ht="24">
      <c r="A16" s="38" t="s">
        <v>587</v>
      </c>
      <c r="B16" s="36"/>
      <c r="C16" s="36" t="s">
        <v>653</v>
      </c>
      <c r="D16" s="67"/>
      <c r="E16" s="67"/>
      <c r="F16" s="67"/>
      <c r="G16" s="67"/>
      <c r="H16" s="67"/>
    </row>
    <row r="17" spans="1:8" ht="24">
      <c r="A17" s="38"/>
      <c r="B17" s="36"/>
      <c r="C17" s="36" t="s">
        <v>649</v>
      </c>
      <c r="D17" s="67"/>
      <c r="E17" s="67"/>
      <c r="F17" s="67"/>
      <c r="G17" s="67"/>
      <c r="H17" s="67"/>
    </row>
    <row r="18" spans="1:8" ht="24">
      <c r="A18" s="38"/>
      <c r="B18" s="459"/>
      <c r="C18" s="36"/>
      <c r="D18" s="67"/>
      <c r="E18" s="67"/>
      <c r="F18" s="67"/>
      <c r="G18" s="67"/>
      <c r="H18" s="67"/>
    </row>
    <row r="19" spans="1:8" ht="24">
      <c r="A19" s="36"/>
      <c r="B19" s="195"/>
      <c r="C19" s="45"/>
      <c r="D19" s="67"/>
      <c r="E19" s="67"/>
      <c r="F19" s="67"/>
      <c r="G19" s="67"/>
      <c r="H19" s="67"/>
    </row>
    <row r="20" spans="1:8" ht="24">
      <c r="A20" s="37"/>
      <c r="B20" s="42"/>
      <c r="C20" s="42"/>
      <c r="D20" s="460"/>
      <c r="E20" s="460"/>
      <c r="F20" s="460"/>
      <c r="G20" s="460"/>
      <c r="H20" s="460"/>
    </row>
    <row r="21" ht="24">
      <c r="H21" s="440" t="s">
        <v>274</v>
      </c>
    </row>
    <row r="22" spans="1:8" ht="24">
      <c r="A22" s="555" t="s">
        <v>516</v>
      </c>
      <c r="B22" s="555" t="s">
        <v>517</v>
      </c>
      <c r="C22" s="555" t="s">
        <v>518</v>
      </c>
      <c r="D22" s="258" t="s">
        <v>15</v>
      </c>
      <c r="E22" s="258" t="s">
        <v>32</v>
      </c>
      <c r="F22" s="258" t="s">
        <v>31</v>
      </c>
      <c r="G22" s="555" t="s">
        <v>27</v>
      </c>
      <c r="H22" s="258" t="s">
        <v>37</v>
      </c>
    </row>
    <row r="23" spans="1:8" ht="24">
      <c r="A23" s="556"/>
      <c r="B23" s="556"/>
      <c r="C23" s="556"/>
      <c r="D23" s="258" t="s">
        <v>645</v>
      </c>
      <c r="E23" s="258" t="s">
        <v>29</v>
      </c>
      <c r="F23" s="258" t="s">
        <v>29</v>
      </c>
      <c r="G23" s="556"/>
      <c r="H23" s="258" t="s">
        <v>38</v>
      </c>
    </row>
    <row r="24" spans="1:8" ht="24">
      <c r="A24" s="46" t="s">
        <v>636</v>
      </c>
      <c r="B24" s="36" t="s">
        <v>646</v>
      </c>
      <c r="C24" s="446" t="s">
        <v>654</v>
      </c>
      <c r="D24" s="447">
        <v>500000</v>
      </c>
      <c r="E24" s="447">
        <v>497000</v>
      </c>
      <c r="F24" s="447">
        <v>497000</v>
      </c>
      <c r="G24" s="67">
        <f>SUM(D24-F24)</f>
        <v>3000</v>
      </c>
      <c r="H24" s="67"/>
    </row>
    <row r="25" spans="1:8" ht="24">
      <c r="A25" s="38" t="s">
        <v>587</v>
      </c>
      <c r="B25" s="36"/>
      <c r="C25" s="36" t="s">
        <v>655</v>
      </c>
      <c r="D25" s="67"/>
      <c r="E25" s="67"/>
      <c r="F25" s="67"/>
      <c r="G25" s="67"/>
      <c r="H25" s="67"/>
    </row>
    <row r="26" spans="1:8" ht="24">
      <c r="A26" s="38"/>
      <c r="B26" s="36"/>
      <c r="C26" s="36" t="s">
        <v>649</v>
      </c>
      <c r="D26" s="67"/>
      <c r="E26" s="67"/>
      <c r="F26" s="67"/>
      <c r="G26" s="67"/>
      <c r="H26" s="67"/>
    </row>
    <row r="27" spans="1:8" ht="24">
      <c r="A27" s="39"/>
      <c r="B27" s="37"/>
      <c r="C27" s="448"/>
      <c r="D27" s="449"/>
      <c r="E27" s="449"/>
      <c r="F27" s="449"/>
      <c r="G27" s="450"/>
      <c r="H27" s="449"/>
    </row>
    <row r="28" spans="1:8" ht="24">
      <c r="A28" s="46" t="s">
        <v>636</v>
      </c>
      <c r="B28" s="36" t="s">
        <v>646</v>
      </c>
      <c r="C28" s="446" t="s">
        <v>656</v>
      </c>
      <c r="D28" s="447">
        <v>500000</v>
      </c>
      <c r="E28" s="447">
        <v>497000</v>
      </c>
      <c r="F28" s="447">
        <v>497000</v>
      </c>
      <c r="G28" s="67">
        <f>SUM(D28-F28)</f>
        <v>3000</v>
      </c>
      <c r="H28" s="67">
        <v>0</v>
      </c>
    </row>
    <row r="29" spans="1:8" ht="24">
      <c r="A29" s="38" t="s">
        <v>587</v>
      </c>
      <c r="B29" s="36"/>
      <c r="C29" s="36" t="s">
        <v>657</v>
      </c>
      <c r="D29" s="67"/>
      <c r="E29" s="67"/>
      <c r="F29" s="67"/>
      <c r="G29" s="67"/>
      <c r="H29" s="67"/>
    </row>
    <row r="30" spans="1:8" ht="24">
      <c r="A30" s="38"/>
      <c r="B30" s="36"/>
      <c r="C30" s="36" t="s">
        <v>658</v>
      </c>
      <c r="D30" s="67"/>
      <c r="E30" s="67"/>
      <c r="F30" s="67"/>
      <c r="G30" s="67"/>
      <c r="H30" s="67"/>
    </row>
    <row r="31" spans="1:8" ht="24">
      <c r="A31" s="39"/>
      <c r="B31" s="37"/>
      <c r="C31" s="37" t="s">
        <v>649</v>
      </c>
      <c r="D31" s="449"/>
      <c r="E31" s="449"/>
      <c r="F31" s="449"/>
      <c r="G31" s="450"/>
      <c r="H31" s="449"/>
    </row>
    <row r="32" spans="1:8" ht="24">
      <c r="A32" s="452" t="s">
        <v>636</v>
      </c>
      <c r="B32" s="79" t="s">
        <v>646</v>
      </c>
      <c r="C32" s="453" t="s">
        <v>659</v>
      </c>
      <c r="D32" s="447">
        <v>500000</v>
      </c>
      <c r="E32" s="447">
        <v>496500</v>
      </c>
      <c r="F32" s="447">
        <v>496500</v>
      </c>
      <c r="G32" s="447">
        <f>SUM(D32-F32)</f>
        <v>3500</v>
      </c>
      <c r="H32" s="447"/>
    </row>
    <row r="33" spans="1:8" ht="24">
      <c r="A33" s="38" t="s">
        <v>587</v>
      </c>
      <c r="B33" s="36"/>
      <c r="C33" s="36" t="s">
        <v>660</v>
      </c>
      <c r="D33" s="67"/>
      <c r="E33" s="67"/>
      <c r="F33" s="67"/>
      <c r="G33" s="67"/>
      <c r="H33" s="67"/>
    </row>
    <row r="34" spans="1:8" ht="24">
      <c r="A34" s="38"/>
      <c r="B34" s="36"/>
      <c r="C34" s="36" t="s">
        <v>661</v>
      </c>
      <c r="D34" s="67"/>
      <c r="E34" s="67"/>
      <c r="F34" s="67"/>
      <c r="G34" s="67"/>
      <c r="H34" s="67"/>
    </row>
    <row r="35" spans="1:8" s="76" customFormat="1" ht="24">
      <c r="A35" s="38"/>
      <c r="B35" s="36"/>
      <c r="C35" s="36" t="s">
        <v>662</v>
      </c>
      <c r="D35" s="67"/>
      <c r="E35" s="67"/>
      <c r="F35" s="67"/>
      <c r="G35" s="67"/>
      <c r="H35" s="67"/>
    </row>
    <row r="36" spans="1:8" s="76" customFormat="1" ht="24">
      <c r="A36" s="39"/>
      <c r="B36" s="37"/>
      <c r="C36" s="37"/>
      <c r="D36" s="67"/>
      <c r="E36" s="67"/>
      <c r="F36" s="67"/>
      <c r="G36" s="449"/>
      <c r="H36" s="449"/>
    </row>
    <row r="37" spans="1:8" s="76" customFormat="1" ht="24">
      <c r="A37" s="46" t="s">
        <v>636</v>
      </c>
      <c r="B37" s="36" t="s">
        <v>646</v>
      </c>
      <c r="C37" s="446" t="s">
        <v>659</v>
      </c>
      <c r="D37" s="447">
        <v>500000</v>
      </c>
      <c r="E37" s="447">
        <v>496500</v>
      </c>
      <c r="F37" s="447">
        <v>496500</v>
      </c>
      <c r="G37" s="67">
        <f>SUM(D37-F37)</f>
        <v>3500</v>
      </c>
      <c r="H37" s="67"/>
    </row>
    <row r="38" spans="1:8" s="76" customFormat="1" ht="24">
      <c r="A38" s="38" t="s">
        <v>587</v>
      </c>
      <c r="B38" s="36"/>
      <c r="C38" s="36" t="s">
        <v>663</v>
      </c>
      <c r="D38" s="67"/>
      <c r="E38" s="67"/>
      <c r="F38" s="67"/>
      <c r="G38" s="67"/>
      <c r="H38" s="67"/>
    </row>
    <row r="39" spans="1:8" s="76" customFormat="1" ht="24">
      <c r="A39" s="38"/>
      <c r="B39" s="36"/>
      <c r="C39" s="36" t="s">
        <v>664</v>
      </c>
      <c r="D39" s="67"/>
      <c r="E39" s="67"/>
      <c r="F39" s="67"/>
      <c r="G39" s="67"/>
      <c r="H39" s="67"/>
    </row>
    <row r="40" spans="1:8" s="76" customFormat="1" ht="24">
      <c r="A40" s="39"/>
      <c r="B40" s="37"/>
      <c r="C40" s="37"/>
      <c r="D40" s="449"/>
      <c r="E40" s="449"/>
      <c r="F40" s="449"/>
      <c r="G40" s="449"/>
      <c r="H40" s="449"/>
    </row>
    <row r="41" spans="1:8" s="76" customFormat="1" ht="24">
      <c r="A41" s="6"/>
      <c r="B41" s="6"/>
      <c r="C41" s="6"/>
      <c r="D41" s="6"/>
      <c r="E41" s="6"/>
      <c r="F41" s="6"/>
      <c r="G41" s="6"/>
      <c r="H41" s="440" t="s">
        <v>295</v>
      </c>
    </row>
    <row r="42" spans="1:8" s="76" customFormat="1" ht="24">
      <c r="A42" s="555" t="s">
        <v>516</v>
      </c>
      <c r="B42" s="557" t="s">
        <v>517</v>
      </c>
      <c r="C42" s="555" t="s">
        <v>518</v>
      </c>
      <c r="D42" s="258" t="s">
        <v>15</v>
      </c>
      <c r="E42" s="258" t="s">
        <v>32</v>
      </c>
      <c r="F42" s="258" t="s">
        <v>31</v>
      </c>
      <c r="G42" s="555" t="s">
        <v>27</v>
      </c>
      <c r="H42" s="258" t="s">
        <v>37</v>
      </c>
    </row>
    <row r="43" spans="1:8" s="76" customFormat="1" ht="24">
      <c r="A43" s="556"/>
      <c r="B43" s="558"/>
      <c r="C43" s="556"/>
      <c r="D43" s="258" t="s">
        <v>645</v>
      </c>
      <c r="E43" s="258" t="s">
        <v>29</v>
      </c>
      <c r="F43" s="258" t="s">
        <v>29</v>
      </c>
      <c r="G43" s="556"/>
      <c r="H43" s="258" t="s">
        <v>38</v>
      </c>
    </row>
    <row r="44" spans="1:8" s="76" customFormat="1" ht="24">
      <c r="A44" s="46" t="s">
        <v>636</v>
      </c>
      <c r="B44" s="459" t="s">
        <v>646</v>
      </c>
      <c r="C44" s="446" t="s">
        <v>665</v>
      </c>
      <c r="D44" s="447">
        <v>100000</v>
      </c>
      <c r="E44" s="447">
        <v>98500</v>
      </c>
      <c r="F44" s="447">
        <v>98500</v>
      </c>
      <c r="G44" s="67">
        <f aca="true" t="shared" si="0" ref="G44:G54">SUM(D44-F44)</f>
        <v>1500</v>
      </c>
      <c r="H44" s="67"/>
    </row>
    <row r="45" spans="1:8" s="76" customFormat="1" ht="24">
      <c r="A45" s="38" t="s">
        <v>587</v>
      </c>
      <c r="B45" s="459"/>
      <c r="C45" s="36" t="s">
        <v>666</v>
      </c>
      <c r="D45" s="67"/>
      <c r="E45" s="67"/>
      <c r="F45" s="67"/>
      <c r="G45" s="67">
        <f t="shared" si="0"/>
        <v>0</v>
      </c>
      <c r="H45" s="67"/>
    </row>
    <row r="46" spans="1:8" s="76" customFormat="1" ht="24">
      <c r="A46" s="38"/>
      <c r="B46" s="459"/>
      <c r="C46" s="36" t="s">
        <v>667</v>
      </c>
      <c r="D46" s="67"/>
      <c r="E46" s="67"/>
      <c r="F46" s="67"/>
      <c r="G46" s="67">
        <f t="shared" si="0"/>
        <v>0</v>
      </c>
      <c r="H46" s="67"/>
    </row>
    <row r="47" spans="1:8" s="76" customFormat="1" ht="24">
      <c r="A47" s="39"/>
      <c r="B47" s="448"/>
      <c r="C47" s="448"/>
      <c r="D47" s="449"/>
      <c r="E47" s="449"/>
      <c r="F47" s="449"/>
      <c r="G47" s="450">
        <f t="shared" si="0"/>
        <v>0</v>
      </c>
      <c r="H47" s="449"/>
    </row>
    <row r="48" spans="1:8" s="76" customFormat="1" ht="24">
      <c r="A48" s="46" t="s">
        <v>636</v>
      </c>
      <c r="B48" s="459" t="s">
        <v>646</v>
      </c>
      <c r="C48" s="446" t="s">
        <v>668</v>
      </c>
      <c r="D48" s="447">
        <v>500000</v>
      </c>
      <c r="E48" s="447">
        <v>499000</v>
      </c>
      <c r="F48" s="447">
        <v>0</v>
      </c>
      <c r="G48" s="67">
        <f t="shared" si="0"/>
        <v>500000</v>
      </c>
      <c r="H48" s="67"/>
    </row>
    <row r="49" spans="1:8" s="76" customFormat="1" ht="24">
      <c r="A49" s="38" t="s">
        <v>587</v>
      </c>
      <c r="B49" s="459"/>
      <c r="C49" s="36" t="s">
        <v>651</v>
      </c>
      <c r="D49" s="67"/>
      <c r="E49" s="67"/>
      <c r="F49" s="67"/>
      <c r="G49" s="67">
        <f t="shared" si="0"/>
        <v>0</v>
      </c>
      <c r="H49" s="67"/>
    </row>
    <row r="50" spans="1:8" s="76" customFormat="1" ht="24">
      <c r="A50" s="38"/>
      <c r="B50" s="459"/>
      <c r="C50" s="36" t="s">
        <v>649</v>
      </c>
      <c r="D50" s="67"/>
      <c r="E50" s="67"/>
      <c r="F50" s="67"/>
      <c r="G50" s="67">
        <f t="shared" si="0"/>
        <v>0</v>
      </c>
      <c r="H50" s="67"/>
    </row>
    <row r="51" spans="1:8" s="76" customFormat="1" ht="24">
      <c r="A51" s="39"/>
      <c r="B51" s="448"/>
      <c r="C51" s="37"/>
      <c r="D51" s="449"/>
      <c r="E51" s="449"/>
      <c r="F51" s="449"/>
      <c r="G51" s="450">
        <f t="shared" si="0"/>
        <v>0</v>
      </c>
      <c r="H51" s="449"/>
    </row>
    <row r="52" spans="1:8" s="76" customFormat="1" ht="24">
      <c r="A52" s="46" t="s">
        <v>636</v>
      </c>
      <c r="B52" s="461" t="s">
        <v>646</v>
      </c>
      <c r="C52" s="453" t="s">
        <v>669</v>
      </c>
      <c r="D52" s="447">
        <v>150000</v>
      </c>
      <c r="E52" s="447">
        <v>149500</v>
      </c>
      <c r="F52" s="447">
        <v>0</v>
      </c>
      <c r="G52" s="447">
        <f t="shared" si="0"/>
        <v>150000</v>
      </c>
      <c r="H52" s="447"/>
    </row>
    <row r="53" spans="1:8" s="76" customFormat="1" ht="24">
      <c r="A53" s="38" t="s">
        <v>587</v>
      </c>
      <c r="B53" s="459"/>
      <c r="C53" s="36" t="s">
        <v>651</v>
      </c>
      <c r="D53" s="67"/>
      <c r="E53" s="67"/>
      <c r="F53" s="67"/>
      <c r="G53" s="67">
        <f t="shared" si="0"/>
        <v>0</v>
      </c>
      <c r="H53" s="67"/>
    </row>
    <row r="54" spans="1:8" s="76" customFormat="1" ht="24">
      <c r="A54" s="38"/>
      <c r="B54" s="459"/>
      <c r="C54" s="36" t="s">
        <v>649</v>
      </c>
      <c r="D54" s="67"/>
      <c r="E54" s="67"/>
      <c r="F54" s="67"/>
      <c r="G54" s="67">
        <f t="shared" si="0"/>
        <v>0</v>
      </c>
      <c r="H54" s="67"/>
    </row>
    <row r="55" spans="1:8" s="76" customFormat="1" ht="24">
      <c r="A55" s="39"/>
      <c r="B55" s="448"/>
      <c r="C55" s="37"/>
      <c r="D55" s="67"/>
      <c r="E55" s="67"/>
      <c r="F55" s="67"/>
      <c r="G55" s="449"/>
      <c r="H55" s="449"/>
    </row>
    <row r="56" spans="1:8" ht="24.75" thickBot="1">
      <c r="A56" s="37"/>
      <c r="B56" s="462" t="s">
        <v>30</v>
      </c>
      <c r="C56" s="457"/>
      <c r="D56" s="458">
        <f>SUM(D24:D55)</f>
        <v>2750000</v>
      </c>
      <c r="E56" s="458">
        <f>SUM(E7:E55)</f>
        <v>3979000</v>
      </c>
      <c r="F56" s="458">
        <f>SUM(F7:F55)</f>
        <v>3330500</v>
      </c>
      <c r="G56" s="458">
        <f>SUM(G7:G55)</f>
        <v>671500</v>
      </c>
      <c r="H56" s="477">
        <f>SUM(H24:H55)</f>
        <v>0</v>
      </c>
    </row>
    <row r="57" ht="24.75" thickTop="1"/>
  </sheetData>
  <sheetProtection/>
  <mergeCells count="15">
    <mergeCell ref="A22:A23"/>
    <mergeCell ref="B22:B23"/>
    <mergeCell ref="C22:C23"/>
    <mergeCell ref="G22:G23"/>
    <mergeCell ref="A42:A43"/>
    <mergeCell ref="B42:B43"/>
    <mergeCell ref="C42:C43"/>
    <mergeCell ref="G42:G43"/>
    <mergeCell ref="A1:H1"/>
    <mergeCell ref="A2:H2"/>
    <mergeCell ref="A3:H3"/>
    <mergeCell ref="A5:A6"/>
    <mergeCell ref="B5:B6"/>
    <mergeCell ref="C5:C6"/>
    <mergeCell ref="G5:G6"/>
  </mergeCells>
  <printOptions/>
  <pageMargins left="0.43" right="0.26" top="0.7480314960629921" bottom="0.7480314960629921" header="0.31496062992125984" footer="0.31496062992125984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06">
      <selection activeCell="F14" sqref="F14"/>
    </sheetView>
  </sheetViews>
  <sheetFormatPr defaultColWidth="9.140625" defaultRowHeight="12.75"/>
  <cols>
    <col min="1" max="1" width="7.28125" style="43" customWidth="1"/>
    <col min="2" max="2" width="12.8515625" style="43" customWidth="1"/>
    <col min="3" max="3" width="18.421875" style="43" customWidth="1"/>
    <col min="4" max="4" width="37.7109375" style="43" customWidth="1"/>
    <col min="5" max="5" width="11.28125" style="1" customWidth="1"/>
    <col min="6" max="16384" width="9.140625" style="43" customWidth="1"/>
  </cols>
  <sheetData>
    <row r="1" spans="1:6" ht="21.75">
      <c r="A1" s="563" t="s">
        <v>51</v>
      </c>
      <c r="B1" s="563"/>
      <c r="C1" s="563"/>
      <c r="D1" s="563"/>
      <c r="E1" s="563"/>
      <c r="F1" s="1"/>
    </row>
    <row r="2" spans="1:6" ht="21.75">
      <c r="A2" s="563" t="s">
        <v>365</v>
      </c>
      <c r="B2" s="563"/>
      <c r="C2" s="563"/>
      <c r="D2" s="563"/>
      <c r="E2" s="563"/>
      <c r="F2" s="1"/>
    </row>
    <row r="3" spans="1:6" ht="21.75">
      <c r="A3" s="563" t="s">
        <v>366</v>
      </c>
      <c r="B3" s="563"/>
      <c r="C3" s="563"/>
      <c r="D3" s="563"/>
      <c r="E3" s="563"/>
      <c r="F3" s="1"/>
    </row>
    <row r="4" spans="1:6" ht="21.75">
      <c r="A4" s="563" t="s">
        <v>367</v>
      </c>
      <c r="B4" s="563"/>
      <c r="C4" s="563"/>
      <c r="D4" s="563"/>
      <c r="E4" s="563"/>
      <c r="F4" s="1"/>
    </row>
    <row r="5" spans="1:6" ht="21.75">
      <c r="A5" s="288"/>
      <c r="B5" s="288"/>
      <c r="C5" s="5"/>
      <c r="D5" s="289" t="s">
        <v>13</v>
      </c>
      <c r="E5" s="290"/>
      <c r="F5" s="288" t="s">
        <v>368</v>
      </c>
    </row>
    <row r="6" spans="1:6" ht="21.75">
      <c r="A6" s="288"/>
      <c r="B6" s="288"/>
      <c r="C6" s="5"/>
      <c r="D6" s="289"/>
      <c r="E6" s="290"/>
      <c r="F6" s="5"/>
    </row>
    <row r="7" spans="1:6" ht="21.75">
      <c r="A7" s="559" t="s">
        <v>369</v>
      </c>
      <c r="B7" s="291" t="s">
        <v>171</v>
      </c>
      <c r="C7" s="559" t="s">
        <v>370</v>
      </c>
      <c r="D7" s="559" t="s">
        <v>371</v>
      </c>
      <c r="E7" s="559" t="s">
        <v>15</v>
      </c>
      <c r="F7" s="561" t="s">
        <v>34</v>
      </c>
    </row>
    <row r="8" spans="1:6" ht="21.75">
      <c r="A8" s="560"/>
      <c r="B8" s="292" t="s">
        <v>372</v>
      </c>
      <c r="C8" s="560"/>
      <c r="D8" s="560"/>
      <c r="E8" s="560"/>
      <c r="F8" s="562"/>
    </row>
    <row r="9" spans="1:6" ht="23.25">
      <c r="A9" s="326">
        <v>1</v>
      </c>
      <c r="B9" s="296">
        <v>22316</v>
      </c>
      <c r="C9" s="306" t="s">
        <v>373</v>
      </c>
      <c r="D9" s="307" t="s">
        <v>374</v>
      </c>
      <c r="E9" s="311"/>
      <c r="F9" s="308"/>
    </row>
    <row r="10" spans="1:6" ht="23.25">
      <c r="A10" s="327"/>
      <c r="B10" s="308"/>
      <c r="C10" s="306" t="s">
        <v>375</v>
      </c>
      <c r="D10" s="307" t="s">
        <v>376</v>
      </c>
      <c r="E10" s="311"/>
      <c r="F10" s="308"/>
    </row>
    <row r="11" spans="1:6" ht="23.25">
      <c r="A11" s="327"/>
      <c r="B11" s="308"/>
      <c r="C11" s="306" t="s">
        <v>377</v>
      </c>
      <c r="D11" s="307" t="s">
        <v>378</v>
      </c>
      <c r="E11" s="311">
        <v>17100</v>
      </c>
      <c r="F11" s="308"/>
    </row>
    <row r="12" spans="1:6" ht="23.25">
      <c r="A12" s="328"/>
      <c r="B12" s="309"/>
      <c r="C12" s="310"/>
      <c r="D12" s="309"/>
      <c r="E12" s="320"/>
      <c r="F12" s="309"/>
    </row>
    <row r="13" spans="1:6" ht="23.25">
      <c r="A13" s="327">
        <v>2</v>
      </c>
      <c r="B13" s="296">
        <v>22365</v>
      </c>
      <c r="C13" s="306" t="s">
        <v>379</v>
      </c>
      <c r="D13" s="307" t="s">
        <v>380</v>
      </c>
      <c r="E13" s="311"/>
      <c r="F13" s="295"/>
    </row>
    <row r="14" spans="1:6" ht="23.25">
      <c r="A14" s="327"/>
      <c r="B14" s="307"/>
      <c r="C14" s="306" t="s">
        <v>381</v>
      </c>
      <c r="D14" s="307" t="s">
        <v>382</v>
      </c>
      <c r="E14" s="311"/>
      <c r="F14" s="295"/>
    </row>
    <row r="15" spans="1:6" ht="23.25">
      <c r="A15" s="65"/>
      <c r="B15" s="307"/>
      <c r="C15" s="306" t="s">
        <v>383</v>
      </c>
      <c r="D15" s="307" t="s">
        <v>384</v>
      </c>
      <c r="E15" s="311">
        <v>4050</v>
      </c>
      <c r="F15" s="295"/>
    </row>
    <row r="16" spans="1:6" ht="23.25">
      <c r="A16" s="65"/>
      <c r="B16" s="307"/>
      <c r="C16" s="306"/>
      <c r="D16" s="307" t="s">
        <v>385</v>
      </c>
      <c r="E16" s="311"/>
      <c r="F16" s="295"/>
    </row>
    <row r="17" spans="1:6" ht="23.25">
      <c r="A17" s="329"/>
      <c r="B17" s="309"/>
      <c r="C17" s="309"/>
      <c r="D17" s="312"/>
      <c r="E17" s="320"/>
      <c r="F17" s="309"/>
    </row>
    <row r="18" spans="1:6" ht="23.25">
      <c r="A18" s="327">
        <v>3</v>
      </c>
      <c r="B18" s="296">
        <v>22375</v>
      </c>
      <c r="C18" s="306" t="s">
        <v>379</v>
      </c>
      <c r="D18" s="199" t="s">
        <v>386</v>
      </c>
      <c r="E18" s="297"/>
      <c r="F18" s="295"/>
    </row>
    <row r="19" spans="1:6" ht="23.25">
      <c r="A19" s="327"/>
      <c r="B19" s="293"/>
      <c r="C19" s="306" t="s">
        <v>387</v>
      </c>
      <c r="D19" s="199" t="s">
        <v>388</v>
      </c>
      <c r="E19" s="297"/>
      <c r="F19" s="295"/>
    </row>
    <row r="20" spans="1:6" ht="23.25">
      <c r="A20" s="327"/>
      <c r="B20" s="293"/>
      <c r="C20" s="306" t="s">
        <v>389</v>
      </c>
      <c r="D20" s="199" t="s">
        <v>390</v>
      </c>
      <c r="E20" s="297"/>
      <c r="F20" s="295"/>
    </row>
    <row r="21" spans="1:6" ht="23.25">
      <c r="A21" s="327"/>
      <c r="B21" s="293"/>
      <c r="C21" s="297"/>
      <c r="D21" s="199" t="s">
        <v>391</v>
      </c>
      <c r="E21" s="298">
        <v>11350</v>
      </c>
      <c r="F21" s="295"/>
    </row>
    <row r="22" spans="1:6" ht="23.25">
      <c r="A22" s="327"/>
      <c r="B22" s="294"/>
      <c r="C22" s="302"/>
      <c r="D22" s="303"/>
      <c r="E22" s="323"/>
      <c r="F22" s="309"/>
    </row>
    <row r="23" spans="1:6" ht="23.25">
      <c r="A23" s="326">
        <v>4</v>
      </c>
      <c r="B23" s="296">
        <v>22375</v>
      </c>
      <c r="C23" s="306" t="s">
        <v>379</v>
      </c>
      <c r="D23" s="324" t="s">
        <v>392</v>
      </c>
      <c r="E23" s="297"/>
      <c r="F23" s="295"/>
    </row>
    <row r="24" spans="1:6" ht="23.25">
      <c r="A24" s="65"/>
      <c r="B24" s="293"/>
      <c r="C24" s="306" t="s">
        <v>393</v>
      </c>
      <c r="D24" s="324" t="s">
        <v>394</v>
      </c>
      <c r="E24" s="297"/>
      <c r="F24" s="295"/>
    </row>
    <row r="25" spans="1:6" ht="23.25">
      <c r="A25" s="65"/>
      <c r="B25" s="293"/>
      <c r="C25" s="306" t="s">
        <v>389</v>
      </c>
      <c r="D25" s="325" t="s">
        <v>395</v>
      </c>
      <c r="E25" s="298"/>
      <c r="F25" s="295"/>
    </row>
    <row r="26" spans="1:6" ht="23.25">
      <c r="A26" s="327"/>
      <c r="B26" s="293"/>
      <c r="C26" s="199"/>
      <c r="D26" s="324" t="s">
        <v>396</v>
      </c>
      <c r="E26" s="300">
        <v>18100</v>
      </c>
      <c r="F26" s="295"/>
    </row>
    <row r="27" spans="1:6" ht="23.25">
      <c r="A27" s="328"/>
      <c r="B27" s="309"/>
      <c r="C27" s="313"/>
      <c r="D27" s="310"/>
      <c r="E27" s="316"/>
      <c r="F27" s="309"/>
    </row>
    <row r="28" spans="1:6" ht="23.25">
      <c r="A28" s="327">
        <v>5</v>
      </c>
      <c r="B28" s="296">
        <v>22389</v>
      </c>
      <c r="C28" s="199" t="s">
        <v>397</v>
      </c>
      <c r="D28" s="324" t="s">
        <v>398</v>
      </c>
      <c r="E28" s="297"/>
      <c r="F28" s="295"/>
    </row>
    <row r="29" spans="1:6" ht="23.25">
      <c r="A29" s="65"/>
      <c r="B29" s="293"/>
      <c r="C29" s="199" t="s">
        <v>399</v>
      </c>
      <c r="D29" s="324" t="s">
        <v>400</v>
      </c>
      <c r="E29" s="297"/>
      <c r="F29" s="295"/>
    </row>
    <row r="30" spans="1:6" ht="23.25">
      <c r="A30" s="65"/>
      <c r="B30" s="293"/>
      <c r="C30" s="199" t="s">
        <v>401</v>
      </c>
      <c r="D30" s="324" t="s">
        <v>402</v>
      </c>
      <c r="E30" s="297"/>
      <c r="F30" s="295"/>
    </row>
    <row r="31" spans="1:6" ht="23.25">
      <c r="A31" s="65"/>
      <c r="B31" s="293"/>
      <c r="C31" s="199"/>
      <c r="D31" s="199" t="s">
        <v>385</v>
      </c>
      <c r="E31" s="298">
        <v>52480</v>
      </c>
      <c r="F31" s="295"/>
    </row>
    <row r="32" spans="1:6" ht="23.25">
      <c r="A32" s="329"/>
      <c r="B32" s="309"/>
      <c r="C32" s="310"/>
      <c r="D32" s="312"/>
      <c r="E32" s="316"/>
      <c r="F32" s="309"/>
    </row>
    <row r="33" spans="1:6" ht="23.25">
      <c r="A33" s="26"/>
      <c r="B33" s="314"/>
      <c r="C33" s="289"/>
      <c r="D33" s="5"/>
      <c r="E33" s="322"/>
      <c r="F33" s="314"/>
    </row>
    <row r="34" spans="1:6" ht="21.75">
      <c r="A34" s="314"/>
      <c r="B34" s="314"/>
      <c r="C34" s="314"/>
      <c r="D34" s="5"/>
      <c r="E34" s="321"/>
      <c r="F34" s="288" t="s">
        <v>403</v>
      </c>
    </row>
    <row r="35" spans="1:6" ht="21.75">
      <c r="A35" s="559" t="s">
        <v>369</v>
      </c>
      <c r="B35" s="291" t="s">
        <v>171</v>
      </c>
      <c r="C35" s="559" t="s">
        <v>370</v>
      </c>
      <c r="D35" s="559" t="s">
        <v>371</v>
      </c>
      <c r="E35" s="559" t="s">
        <v>15</v>
      </c>
      <c r="F35" s="561" t="s">
        <v>34</v>
      </c>
    </row>
    <row r="36" spans="1:6" ht="21.75">
      <c r="A36" s="560"/>
      <c r="B36" s="292" t="s">
        <v>372</v>
      </c>
      <c r="C36" s="560"/>
      <c r="D36" s="560"/>
      <c r="E36" s="560"/>
      <c r="F36" s="562"/>
    </row>
    <row r="37" spans="1:6" ht="23.25">
      <c r="A37" s="327">
        <v>6</v>
      </c>
      <c r="B37" s="296">
        <v>22536</v>
      </c>
      <c r="C37" s="49" t="s">
        <v>397</v>
      </c>
      <c r="D37" s="49" t="s">
        <v>404</v>
      </c>
      <c r="E37" s="307"/>
      <c r="F37" s="307"/>
    </row>
    <row r="38" spans="1:6" ht="23.25">
      <c r="A38" s="327"/>
      <c r="B38" s="307"/>
      <c r="C38" s="49" t="s">
        <v>405</v>
      </c>
      <c r="D38" s="49" t="s">
        <v>406</v>
      </c>
      <c r="E38" s="307"/>
      <c r="F38" s="307"/>
    </row>
    <row r="39" spans="1:6" ht="23.25">
      <c r="A39" s="327"/>
      <c r="B39" s="307"/>
      <c r="C39" s="49" t="s">
        <v>407</v>
      </c>
      <c r="D39" s="49" t="s">
        <v>408</v>
      </c>
      <c r="E39" s="307"/>
      <c r="F39" s="307"/>
    </row>
    <row r="40" spans="1:6" ht="23.25">
      <c r="A40" s="327"/>
      <c r="B40" s="307"/>
      <c r="C40" s="49"/>
      <c r="D40" s="49" t="s">
        <v>409</v>
      </c>
      <c r="E40" s="311">
        <v>8500</v>
      </c>
      <c r="F40" s="307"/>
    </row>
    <row r="41" spans="1:6" ht="23.25">
      <c r="A41" s="328"/>
      <c r="B41" s="309"/>
      <c r="C41" s="310"/>
      <c r="D41" s="312"/>
      <c r="E41" s="316"/>
      <c r="F41" s="309"/>
    </row>
    <row r="42" spans="1:6" ht="23.25">
      <c r="A42" s="327">
        <v>7</v>
      </c>
      <c r="B42" s="296">
        <v>22606</v>
      </c>
      <c r="C42" s="199" t="s">
        <v>410</v>
      </c>
      <c r="D42" s="199" t="s">
        <v>411</v>
      </c>
      <c r="E42" s="297"/>
      <c r="F42" s="295"/>
    </row>
    <row r="43" spans="1:6" ht="23.25">
      <c r="A43" s="65"/>
      <c r="B43" s="293"/>
      <c r="C43" s="199" t="s">
        <v>412</v>
      </c>
      <c r="D43" s="199" t="s">
        <v>413</v>
      </c>
      <c r="E43" s="297"/>
      <c r="F43" s="295"/>
    </row>
    <row r="44" spans="1:6" ht="23.25">
      <c r="A44" s="65"/>
      <c r="B44" s="293"/>
      <c r="C44" s="199" t="s">
        <v>414</v>
      </c>
      <c r="D44" s="199" t="s">
        <v>415</v>
      </c>
      <c r="E44" s="300">
        <v>24750</v>
      </c>
      <c r="F44" s="295"/>
    </row>
    <row r="45" spans="1:6" ht="23.25">
      <c r="A45" s="65"/>
      <c r="B45" s="308"/>
      <c r="C45" s="306"/>
      <c r="D45" s="307"/>
      <c r="E45" s="311"/>
      <c r="F45" s="308"/>
    </row>
    <row r="46" spans="1:6" ht="23.25">
      <c r="A46" s="329"/>
      <c r="B46" s="309"/>
      <c r="C46" s="310"/>
      <c r="D46" s="312"/>
      <c r="E46" s="316"/>
      <c r="F46" s="309"/>
    </row>
    <row r="47" spans="1:6" ht="23.25">
      <c r="A47" s="327">
        <v>8</v>
      </c>
      <c r="B47" s="296">
        <v>22215</v>
      </c>
      <c r="C47" s="199" t="s">
        <v>416</v>
      </c>
      <c r="D47" s="199" t="s">
        <v>417</v>
      </c>
      <c r="E47" s="297"/>
      <c r="F47" s="295"/>
    </row>
    <row r="48" spans="1:6" ht="23.25">
      <c r="A48" s="65"/>
      <c r="B48" s="293"/>
      <c r="C48" s="199" t="s">
        <v>418</v>
      </c>
      <c r="D48" s="199" t="s">
        <v>419</v>
      </c>
      <c r="E48" s="297"/>
      <c r="F48" s="295"/>
    </row>
    <row r="49" spans="1:6" ht="23.25">
      <c r="A49" s="65"/>
      <c r="B49" s="293"/>
      <c r="C49" s="199" t="s">
        <v>420</v>
      </c>
      <c r="D49" s="199" t="s">
        <v>421</v>
      </c>
      <c r="E49" s="298">
        <v>675</v>
      </c>
      <c r="F49" s="295"/>
    </row>
    <row r="50" spans="1:6" ht="23.25">
      <c r="A50" s="65"/>
      <c r="B50" s="308"/>
      <c r="C50" s="306"/>
      <c r="D50" s="307"/>
      <c r="E50" s="311"/>
      <c r="F50" s="308"/>
    </row>
    <row r="51" spans="1:6" ht="23.25">
      <c r="A51" s="329"/>
      <c r="B51" s="309"/>
      <c r="C51" s="310"/>
      <c r="D51" s="312"/>
      <c r="E51" s="316"/>
      <c r="F51" s="309"/>
    </row>
    <row r="52" spans="1:6" ht="23.25">
      <c r="A52" s="327">
        <v>9</v>
      </c>
      <c r="B52" s="296">
        <v>22201</v>
      </c>
      <c r="C52" s="199" t="s">
        <v>410</v>
      </c>
      <c r="D52" s="324" t="s">
        <v>422</v>
      </c>
      <c r="E52" s="297"/>
      <c r="F52" s="295"/>
    </row>
    <row r="53" spans="1:6" ht="23.25">
      <c r="A53" s="65"/>
      <c r="B53" s="293"/>
      <c r="C53" s="199" t="s">
        <v>423</v>
      </c>
      <c r="D53" s="199" t="s">
        <v>424</v>
      </c>
      <c r="E53" s="297"/>
      <c r="F53" s="295"/>
    </row>
    <row r="54" spans="1:6" ht="23.25">
      <c r="A54" s="65"/>
      <c r="B54" s="293"/>
      <c r="C54" s="199" t="s">
        <v>425</v>
      </c>
      <c r="D54" s="199" t="s">
        <v>426</v>
      </c>
      <c r="E54" s="300">
        <v>9950</v>
      </c>
      <c r="F54" s="295"/>
    </row>
    <row r="55" spans="1:6" ht="23.25">
      <c r="A55" s="329"/>
      <c r="B55" s="312"/>
      <c r="C55" s="310"/>
      <c r="D55" s="312"/>
      <c r="E55" s="316"/>
      <c r="F55" s="301"/>
    </row>
    <row r="56" spans="1:6" ht="23.25">
      <c r="A56" s="20">
        <v>10</v>
      </c>
      <c r="B56" s="296" t="s">
        <v>427</v>
      </c>
      <c r="C56" s="306" t="s">
        <v>428</v>
      </c>
      <c r="D56" s="199" t="s">
        <v>429</v>
      </c>
      <c r="E56" s="297"/>
      <c r="F56" s="295"/>
    </row>
    <row r="57" spans="1:6" ht="23.25">
      <c r="A57" s="20"/>
      <c r="B57" s="293"/>
      <c r="C57" s="306" t="s">
        <v>430</v>
      </c>
      <c r="D57" s="199" t="s">
        <v>431</v>
      </c>
      <c r="E57" s="297"/>
      <c r="F57" s="295"/>
    </row>
    <row r="58" spans="1:6" ht="23.25">
      <c r="A58" s="20"/>
      <c r="B58" s="293"/>
      <c r="C58" s="306" t="s">
        <v>432</v>
      </c>
      <c r="D58" s="199" t="s">
        <v>433</v>
      </c>
      <c r="E58" s="298">
        <v>20250</v>
      </c>
      <c r="F58" s="295"/>
    </row>
    <row r="59" spans="1:6" ht="23.25">
      <c r="A59" s="20"/>
      <c r="B59" s="293"/>
      <c r="C59" s="297"/>
      <c r="D59" s="199"/>
      <c r="E59" s="298"/>
      <c r="F59" s="295"/>
    </row>
    <row r="60" spans="1:6" ht="23.25">
      <c r="A60" s="13"/>
      <c r="B60" s="294"/>
      <c r="C60" s="302"/>
      <c r="D60" s="302"/>
      <c r="E60" s="302"/>
      <c r="F60" s="301"/>
    </row>
    <row r="61" spans="1:6" ht="23.25">
      <c r="A61" s="20">
        <v>11</v>
      </c>
      <c r="B61" s="296" t="s">
        <v>493</v>
      </c>
      <c r="C61" s="330" t="s">
        <v>434</v>
      </c>
      <c r="D61" s="199" t="s">
        <v>435</v>
      </c>
      <c r="E61" s="297"/>
      <c r="F61" s="295"/>
    </row>
    <row r="62" spans="1:6" ht="23.25">
      <c r="A62" s="20"/>
      <c r="B62" s="293"/>
      <c r="C62" s="330" t="s">
        <v>436</v>
      </c>
      <c r="D62" s="199" t="s">
        <v>437</v>
      </c>
      <c r="E62" s="297"/>
      <c r="F62" s="295"/>
    </row>
    <row r="63" spans="1:6" ht="23.25">
      <c r="A63" s="20"/>
      <c r="B63" s="293"/>
      <c r="C63" s="330" t="s">
        <v>432</v>
      </c>
      <c r="D63" s="299" t="s">
        <v>438</v>
      </c>
      <c r="E63" s="298"/>
      <c r="F63" s="295"/>
    </row>
    <row r="64" spans="1:6" ht="23.25">
      <c r="A64" s="20"/>
      <c r="B64" s="293"/>
      <c r="C64" s="199"/>
      <c r="D64" s="199" t="s">
        <v>439</v>
      </c>
      <c r="E64" s="300">
        <v>74750</v>
      </c>
      <c r="F64" s="295"/>
    </row>
    <row r="65" spans="1:6" ht="23.25">
      <c r="A65" s="329"/>
      <c r="B65" s="309"/>
      <c r="C65" s="310"/>
      <c r="D65" s="312" t="s">
        <v>409</v>
      </c>
      <c r="E65" s="316"/>
      <c r="F65" s="309"/>
    </row>
    <row r="66" spans="1:6" ht="21.75">
      <c r="A66" s="314"/>
      <c r="B66" s="314"/>
      <c r="C66" s="289"/>
      <c r="D66" s="5"/>
      <c r="E66" s="322"/>
      <c r="F66" s="314"/>
    </row>
    <row r="67" spans="3:6" ht="21.75">
      <c r="C67" s="315"/>
      <c r="E67" s="5"/>
      <c r="F67" s="288" t="s">
        <v>440</v>
      </c>
    </row>
    <row r="68" spans="1:6" ht="21.75">
      <c r="A68" s="559" t="s">
        <v>369</v>
      </c>
      <c r="B68" s="291" t="s">
        <v>171</v>
      </c>
      <c r="C68" s="559" t="s">
        <v>370</v>
      </c>
      <c r="D68" s="559" t="s">
        <v>371</v>
      </c>
      <c r="E68" s="559" t="s">
        <v>15</v>
      </c>
      <c r="F68" s="561" t="s">
        <v>34</v>
      </c>
    </row>
    <row r="69" spans="1:6" ht="21.75">
      <c r="A69" s="560"/>
      <c r="B69" s="292" t="s">
        <v>372</v>
      </c>
      <c r="C69" s="560"/>
      <c r="D69" s="560"/>
      <c r="E69" s="560"/>
      <c r="F69" s="562"/>
    </row>
    <row r="70" spans="1:6" ht="23.25">
      <c r="A70" s="20">
        <v>12</v>
      </c>
      <c r="B70" s="296">
        <v>22308</v>
      </c>
      <c r="C70" s="199" t="s">
        <v>441</v>
      </c>
      <c r="D70" s="199" t="s">
        <v>442</v>
      </c>
      <c r="E70" s="297"/>
      <c r="F70" s="295"/>
    </row>
    <row r="71" spans="1:6" ht="23.25">
      <c r="A71" s="20"/>
      <c r="B71" s="293"/>
      <c r="C71" s="199" t="s">
        <v>443</v>
      </c>
      <c r="D71" s="199" t="s">
        <v>444</v>
      </c>
      <c r="E71" s="297"/>
      <c r="F71" s="295"/>
    </row>
    <row r="72" spans="1:6" ht="23.25">
      <c r="A72" s="20"/>
      <c r="B72" s="293"/>
      <c r="C72" s="199" t="s">
        <v>445</v>
      </c>
      <c r="D72" s="199" t="s">
        <v>446</v>
      </c>
      <c r="E72" s="297"/>
      <c r="F72" s="295"/>
    </row>
    <row r="73" spans="1:6" ht="23.25">
      <c r="A73" s="20"/>
      <c r="B73" s="293"/>
      <c r="C73" s="199"/>
      <c r="D73" s="199" t="s">
        <v>447</v>
      </c>
      <c r="E73" s="298">
        <v>14000</v>
      </c>
      <c r="F73" s="295"/>
    </row>
    <row r="74" spans="1:6" ht="23.25">
      <c r="A74" s="13"/>
      <c r="B74" s="294"/>
      <c r="C74" s="303"/>
      <c r="D74" s="303"/>
      <c r="E74" s="302"/>
      <c r="F74" s="301"/>
    </row>
    <row r="75" spans="1:6" ht="23.25">
      <c r="A75" s="20">
        <v>13</v>
      </c>
      <c r="B75" s="296">
        <v>22799</v>
      </c>
      <c r="C75" s="199" t="s">
        <v>448</v>
      </c>
      <c r="D75" s="199" t="s">
        <v>449</v>
      </c>
      <c r="E75" s="297"/>
      <c r="F75" s="295"/>
    </row>
    <row r="76" spans="1:6" ht="23.25">
      <c r="A76" s="20"/>
      <c r="B76" s="293"/>
      <c r="C76" s="199" t="s">
        <v>450</v>
      </c>
      <c r="D76" s="199" t="s">
        <v>451</v>
      </c>
      <c r="E76" s="297"/>
      <c r="F76" s="295"/>
    </row>
    <row r="77" spans="1:6" ht="23.25">
      <c r="A77" s="20"/>
      <c r="B77" s="293"/>
      <c r="C77" s="199" t="s">
        <v>452</v>
      </c>
      <c r="D77" s="199" t="s">
        <v>453</v>
      </c>
      <c r="E77" s="298"/>
      <c r="F77" s="295"/>
    </row>
    <row r="78" spans="1:6" ht="23.25">
      <c r="A78" s="13"/>
      <c r="B78" s="294"/>
      <c r="C78" s="303"/>
      <c r="D78" s="303" t="s">
        <v>454</v>
      </c>
      <c r="E78" s="304">
        <v>24850</v>
      </c>
      <c r="F78" s="301"/>
    </row>
    <row r="79" spans="1:6" ht="23.25">
      <c r="A79" s="20">
        <v>14</v>
      </c>
      <c r="B79" s="293"/>
      <c r="C79" s="199" t="s">
        <v>428</v>
      </c>
      <c r="D79" s="199" t="s">
        <v>455</v>
      </c>
      <c r="E79" s="297"/>
      <c r="F79" s="295"/>
    </row>
    <row r="80" spans="1:6" ht="23.25">
      <c r="A80" s="20"/>
      <c r="B80" s="293"/>
      <c r="C80" s="199" t="s">
        <v>456</v>
      </c>
      <c r="D80" s="199" t="s">
        <v>457</v>
      </c>
      <c r="E80" s="297"/>
      <c r="F80" s="295"/>
    </row>
    <row r="81" spans="1:6" ht="23.25">
      <c r="A81" s="20"/>
      <c r="B81" s="293"/>
      <c r="C81" s="199" t="s">
        <v>458</v>
      </c>
      <c r="D81" s="199" t="s">
        <v>459</v>
      </c>
      <c r="E81" s="300"/>
      <c r="F81" s="295"/>
    </row>
    <row r="82" spans="1:6" ht="23.25">
      <c r="A82" s="20"/>
      <c r="B82" s="293"/>
      <c r="C82" s="199"/>
      <c r="D82" s="199" t="s">
        <v>447</v>
      </c>
      <c r="E82" s="298">
        <v>7475</v>
      </c>
      <c r="F82" s="295"/>
    </row>
    <row r="83" spans="1:6" ht="23.25">
      <c r="A83" s="329"/>
      <c r="B83" s="312"/>
      <c r="C83" s="317"/>
      <c r="D83" s="317"/>
      <c r="E83" s="312"/>
      <c r="F83" s="312"/>
    </row>
    <row r="84" spans="1:6" ht="23.25">
      <c r="A84" s="327">
        <v>15</v>
      </c>
      <c r="B84" s="296"/>
      <c r="C84" s="49" t="s">
        <v>428</v>
      </c>
      <c r="D84" s="49" t="s">
        <v>460</v>
      </c>
      <c r="E84" s="307"/>
      <c r="F84" s="307"/>
    </row>
    <row r="85" spans="1:6" ht="23.25">
      <c r="A85" s="65"/>
      <c r="B85" s="307"/>
      <c r="C85" s="49" t="s">
        <v>461</v>
      </c>
      <c r="D85" s="49" t="s">
        <v>462</v>
      </c>
      <c r="E85" s="307"/>
      <c r="F85" s="307"/>
    </row>
    <row r="86" spans="1:6" ht="23.25">
      <c r="A86" s="65"/>
      <c r="B86" s="307"/>
      <c r="C86" s="49" t="s">
        <v>463</v>
      </c>
      <c r="D86" s="49" t="s">
        <v>464</v>
      </c>
      <c r="E86" s="311">
        <v>24950</v>
      </c>
      <c r="F86" s="307"/>
    </row>
    <row r="87" spans="1:6" ht="23.25">
      <c r="A87" s="329"/>
      <c r="B87" s="312"/>
      <c r="C87" s="317"/>
      <c r="D87" s="317"/>
      <c r="E87" s="312"/>
      <c r="F87" s="312"/>
    </row>
    <row r="88" spans="1:6" ht="23.25">
      <c r="A88" s="327">
        <v>16</v>
      </c>
      <c r="B88" s="296"/>
      <c r="C88" s="49" t="s">
        <v>465</v>
      </c>
      <c r="D88" s="49" t="s">
        <v>466</v>
      </c>
      <c r="E88" s="307"/>
      <c r="F88" s="307"/>
    </row>
    <row r="89" spans="1:6" ht="23.25">
      <c r="A89" s="65"/>
      <c r="B89" s="307"/>
      <c r="C89" s="49" t="s">
        <v>467</v>
      </c>
      <c r="D89" s="49" t="s">
        <v>468</v>
      </c>
      <c r="E89" s="307"/>
      <c r="F89" s="307"/>
    </row>
    <row r="90" spans="1:6" ht="23.25">
      <c r="A90" s="65"/>
      <c r="B90" s="307"/>
      <c r="C90" s="49" t="s">
        <v>469</v>
      </c>
      <c r="D90" s="49" t="s">
        <v>470</v>
      </c>
      <c r="E90" s="307"/>
      <c r="F90" s="307"/>
    </row>
    <row r="91" spans="1:6" ht="23.25">
      <c r="A91" s="65"/>
      <c r="B91" s="307"/>
      <c r="C91" s="49"/>
      <c r="D91" s="49" t="s">
        <v>471</v>
      </c>
      <c r="E91" s="311">
        <v>7900</v>
      </c>
      <c r="F91" s="307"/>
    </row>
    <row r="92" spans="1:6" ht="23.25">
      <c r="A92" s="329"/>
      <c r="B92" s="312"/>
      <c r="C92" s="317"/>
      <c r="D92" s="317"/>
      <c r="E92" s="312"/>
      <c r="F92" s="312"/>
    </row>
    <row r="93" spans="1:6" ht="23.25">
      <c r="A93" s="327">
        <v>17</v>
      </c>
      <c r="B93" s="296"/>
      <c r="C93" s="49" t="s">
        <v>465</v>
      </c>
      <c r="D93" s="49" t="s">
        <v>472</v>
      </c>
      <c r="E93" s="307"/>
      <c r="F93" s="307"/>
    </row>
    <row r="94" spans="1:6" ht="23.25">
      <c r="A94" s="65"/>
      <c r="B94" s="307"/>
      <c r="C94" s="49" t="s">
        <v>473</v>
      </c>
      <c r="D94" s="49" t="s">
        <v>474</v>
      </c>
      <c r="E94" s="307"/>
      <c r="F94" s="307"/>
    </row>
    <row r="95" spans="1:6" ht="23.25">
      <c r="A95" s="65"/>
      <c r="B95" s="307"/>
      <c r="C95" s="49" t="s">
        <v>469</v>
      </c>
      <c r="D95" s="49" t="s">
        <v>475</v>
      </c>
      <c r="E95" s="307"/>
      <c r="F95" s="307"/>
    </row>
    <row r="96" spans="1:6" ht="23.25">
      <c r="A96" s="65"/>
      <c r="B96" s="307"/>
      <c r="C96" s="49"/>
      <c r="D96" s="49" t="s">
        <v>476</v>
      </c>
      <c r="E96" s="307"/>
      <c r="F96" s="307"/>
    </row>
    <row r="97" spans="1:6" ht="23.25">
      <c r="A97" s="329"/>
      <c r="B97" s="312"/>
      <c r="C97" s="317"/>
      <c r="D97" s="317" t="s">
        <v>477</v>
      </c>
      <c r="E97" s="316">
        <v>24900</v>
      </c>
      <c r="F97" s="312"/>
    </row>
    <row r="98" spans="1:6" ht="23.25">
      <c r="A98" s="26"/>
      <c r="B98" s="5"/>
      <c r="C98" s="318"/>
      <c r="D98" s="318"/>
      <c r="E98" s="322"/>
      <c r="F98" s="5"/>
    </row>
    <row r="99" spans="3:6" ht="21.75">
      <c r="C99" s="315"/>
      <c r="E99" s="5"/>
      <c r="F99" s="288" t="s">
        <v>478</v>
      </c>
    </row>
    <row r="100" spans="1:6" ht="21.75">
      <c r="A100" s="559" t="s">
        <v>369</v>
      </c>
      <c r="B100" s="291" t="s">
        <v>171</v>
      </c>
      <c r="C100" s="559" t="s">
        <v>370</v>
      </c>
      <c r="D100" s="559" t="s">
        <v>371</v>
      </c>
      <c r="E100" s="559" t="s">
        <v>15</v>
      </c>
      <c r="F100" s="561" t="s">
        <v>34</v>
      </c>
    </row>
    <row r="101" spans="1:6" ht="21.75">
      <c r="A101" s="560"/>
      <c r="B101" s="292" t="s">
        <v>372</v>
      </c>
      <c r="C101" s="560"/>
      <c r="D101" s="560"/>
      <c r="E101" s="560"/>
      <c r="F101" s="562"/>
    </row>
    <row r="102" spans="1:6" ht="23.25">
      <c r="A102" s="20">
        <v>18</v>
      </c>
      <c r="B102" s="296"/>
      <c r="C102" s="199" t="s">
        <v>479</v>
      </c>
      <c r="D102" s="199" t="s">
        <v>480</v>
      </c>
      <c r="E102" s="297"/>
      <c r="F102" s="295"/>
    </row>
    <row r="103" spans="1:6" ht="23.25">
      <c r="A103" s="20"/>
      <c r="B103" s="293"/>
      <c r="C103" s="199" t="s">
        <v>481</v>
      </c>
      <c r="D103" s="199" t="s">
        <v>482</v>
      </c>
      <c r="E103" s="297"/>
      <c r="F103" s="295"/>
    </row>
    <row r="104" spans="1:6" ht="23.25">
      <c r="A104" s="20"/>
      <c r="B104" s="293"/>
      <c r="C104" s="199" t="s">
        <v>483</v>
      </c>
      <c r="D104" s="199" t="s">
        <v>484</v>
      </c>
      <c r="E104" s="300">
        <v>2690</v>
      </c>
      <c r="F104" s="295"/>
    </row>
    <row r="105" spans="1:6" ht="23.25">
      <c r="A105" s="20"/>
      <c r="B105" s="293"/>
      <c r="C105" s="199"/>
      <c r="D105" s="199"/>
      <c r="E105" s="298"/>
      <c r="F105" s="295"/>
    </row>
    <row r="106" spans="1:6" ht="23.25">
      <c r="A106" s="13"/>
      <c r="B106" s="294"/>
      <c r="C106" s="303"/>
      <c r="D106" s="303"/>
      <c r="E106" s="302"/>
      <c r="F106" s="301"/>
    </row>
    <row r="107" spans="1:6" ht="23.25">
      <c r="A107" s="20">
        <v>19</v>
      </c>
      <c r="B107" s="296"/>
      <c r="C107" s="199" t="s">
        <v>479</v>
      </c>
      <c r="D107" s="199" t="s">
        <v>485</v>
      </c>
      <c r="E107" s="297"/>
      <c r="F107" s="295"/>
    </row>
    <row r="108" spans="1:6" ht="23.25">
      <c r="A108" s="20"/>
      <c r="B108" s="293"/>
      <c r="C108" s="199" t="s">
        <v>486</v>
      </c>
      <c r="D108" s="199" t="s">
        <v>487</v>
      </c>
      <c r="E108" s="297"/>
      <c r="F108" s="295"/>
    </row>
    <row r="109" spans="1:6" ht="23.25">
      <c r="A109" s="20"/>
      <c r="B109" s="293"/>
      <c r="C109" s="199" t="s">
        <v>483</v>
      </c>
      <c r="D109" s="199" t="s">
        <v>488</v>
      </c>
      <c r="E109" s="298">
        <v>2335</v>
      </c>
      <c r="F109" s="295"/>
    </row>
    <row r="110" spans="1:6" ht="23.25">
      <c r="A110" s="13"/>
      <c r="B110" s="294"/>
      <c r="C110" s="303"/>
      <c r="D110" s="303"/>
      <c r="E110" s="304"/>
      <c r="F110" s="301"/>
    </row>
    <row r="111" spans="1:6" ht="23.25">
      <c r="A111" s="20">
        <v>20</v>
      </c>
      <c r="B111" s="296"/>
      <c r="C111" s="199" t="s">
        <v>479</v>
      </c>
      <c r="D111" s="324" t="s">
        <v>489</v>
      </c>
      <c r="E111" s="297"/>
      <c r="F111" s="295"/>
    </row>
    <row r="112" spans="1:6" ht="23.25">
      <c r="A112" s="20"/>
      <c r="B112" s="293"/>
      <c r="C112" s="199" t="s">
        <v>490</v>
      </c>
      <c r="D112" s="199" t="s">
        <v>491</v>
      </c>
      <c r="E112" s="297"/>
      <c r="F112" s="295"/>
    </row>
    <row r="113" spans="1:6" ht="23.25">
      <c r="A113" s="20"/>
      <c r="B113" s="293"/>
      <c r="C113" s="199" t="s">
        <v>483</v>
      </c>
      <c r="D113" s="199" t="s">
        <v>492</v>
      </c>
      <c r="E113" s="298">
        <v>2400</v>
      </c>
      <c r="F113" s="295"/>
    </row>
    <row r="114" spans="1:6" ht="23.25">
      <c r="A114" s="20"/>
      <c r="B114" s="293"/>
      <c r="C114" s="199"/>
      <c r="D114" s="199"/>
      <c r="E114" s="298"/>
      <c r="F114" s="295"/>
    </row>
    <row r="115" spans="1:6" ht="21.75">
      <c r="A115" s="312"/>
      <c r="B115" s="312"/>
      <c r="C115" s="317"/>
      <c r="D115" s="317"/>
      <c r="E115" s="312"/>
      <c r="F115" s="312"/>
    </row>
    <row r="116" spans="1:6" ht="22.5" thickBot="1">
      <c r="A116" s="314"/>
      <c r="B116" s="288"/>
      <c r="C116" s="314"/>
      <c r="D116" s="290" t="s">
        <v>14</v>
      </c>
      <c r="E116" s="305">
        <f>SUM(E11:E115)</f>
        <v>353455</v>
      </c>
      <c r="F116" s="5"/>
    </row>
    <row r="117" ht="22.5" thickTop="1"/>
  </sheetData>
  <sheetProtection/>
  <mergeCells count="24">
    <mergeCell ref="A1:E1"/>
    <mergeCell ref="A2:E2"/>
    <mergeCell ref="A3:E3"/>
    <mergeCell ref="A4:E4"/>
    <mergeCell ref="A7:A8"/>
    <mergeCell ref="C7:C8"/>
    <mergeCell ref="D7:D8"/>
    <mergeCell ref="E7:E8"/>
    <mergeCell ref="F7:F8"/>
    <mergeCell ref="A35:A36"/>
    <mergeCell ref="C35:C36"/>
    <mergeCell ref="D35:D36"/>
    <mergeCell ref="E35:E36"/>
    <mergeCell ref="F35:F36"/>
    <mergeCell ref="A68:A69"/>
    <mergeCell ref="C68:C69"/>
    <mergeCell ref="D68:D69"/>
    <mergeCell ref="E68:E69"/>
    <mergeCell ref="F68:F69"/>
    <mergeCell ref="A100:A101"/>
    <mergeCell ref="C100:C101"/>
    <mergeCell ref="D100:D101"/>
    <mergeCell ref="E100:E101"/>
    <mergeCell ref="F100:F101"/>
  </mergeCells>
  <printOptions/>
  <pageMargins left="0.54" right="0.21" top="0.75" bottom="0.75" header="0.3" footer="0.3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9.57421875" style="480" customWidth="1"/>
    <col min="2" max="2" width="10.28125" style="480" customWidth="1"/>
    <col min="3" max="12" width="11.28125" style="480" bestFit="1" customWidth="1"/>
    <col min="13" max="13" width="11.421875" style="480" customWidth="1"/>
    <col min="14" max="14" width="12.7109375" style="6" customWidth="1"/>
    <col min="15" max="16384" width="9.140625" style="6" customWidth="1"/>
  </cols>
  <sheetData>
    <row r="1" spans="1:13" ht="25.5" customHeight="1">
      <c r="A1" s="564" t="s">
        <v>51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</row>
    <row r="2" spans="1:13" ht="25.5" customHeight="1">
      <c r="A2" s="564" t="s">
        <v>131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</row>
    <row r="3" spans="1:13" ht="25.5" customHeight="1">
      <c r="A3" s="564" t="s">
        <v>690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</row>
    <row r="6" spans="1:14" s="50" customFormat="1" ht="24">
      <c r="A6" s="498" t="s">
        <v>724</v>
      </c>
      <c r="B6" s="481" t="s">
        <v>126</v>
      </c>
      <c r="C6" s="481" t="s">
        <v>127</v>
      </c>
      <c r="D6" s="481" t="s">
        <v>83</v>
      </c>
      <c r="E6" s="481" t="s">
        <v>84</v>
      </c>
      <c r="F6" s="481" t="s">
        <v>128</v>
      </c>
      <c r="G6" s="481" t="s">
        <v>85</v>
      </c>
      <c r="H6" s="481" t="s">
        <v>86</v>
      </c>
      <c r="I6" s="481" t="s">
        <v>87</v>
      </c>
      <c r="J6" s="481" t="s">
        <v>88</v>
      </c>
      <c r="K6" s="481" t="s">
        <v>129</v>
      </c>
      <c r="L6" s="481" t="s">
        <v>89</v>
      </c>
      <c r="M6" s="481" t="s">
        <v>90</v>
      </c>
      <c r="N6" s="50" t="s">
        <v>14</v>
      </c>
    </row>
    <row r="7" spans="1:14" ht="24">
      <c r="A7" s="478" t="s">
        <v>41</v>
      </c>
      <c r="B7" s="478">
        <v>299095</v>
      </c>
      <c r="C7" s="478">
        <f>SUM(B10)</f>
        <v>338207</v>
      </c>
      <c r="D7" s="478">
        <f aca="true" t="shared" si="0" ref="D7:M7">SUM(C10)</f>
        <v>339899</v>
      </c>
      <c r="E7" s="478">
        <f t="shared" si="0"/>
        <v>342239</v>
      </c>
      <c r="F7" s="478">
        <f t="shared" si="0"/>
        <v>316929</v>
      </c>
      <c r="G7" s="478">
        <f t="shared" si="0"/>
        <v>349705</v>
      </c>
      <c r="H7" s="478">
        <f t="shared" si="0"/>
        <v>361393</v>
      </c>
      <c r="I7" s="478">
        <f t="shared" si="0"/>
        <v>325961</v>
      </c>
      <c r="J7" s="478">
        <f t="shared" si="0"/>
        <v>334805</v>
      </c>
      <c r="K7" s="478">
        <f t="shared" si="0"/>
        <v>379799</v>
      </c>
      <c r="L7" s="478">
        <f t="shared" si="0"/>
        <v>340923</v>
      </c>
      <c r="M7" s="478">
        <f t="shared" si="0"/>
        <v>388601</v>
      </c>
      <c r="N7" s="479">
        <f>SUM(M10)</f>
        <v>350167</v>
      </c>
    </row>
    <row r="8" spans="1:14" ht="24">
      <c r="A8" s="478" t="s">
        <v>130</v>
      </c>
      <c r="B8" s="478">
        <f>33382+34464</f>
        <v>67846</v>
      </c>
      <c r="C8" s="478">
        <v>31884</v>
      </c>
      <c r="D8" s="478">
        <v>30644</v>
      </c>
      <c r="E8" s="478">
        <v>0</v>
      </c>
      <c r="F8" s="478">
        <v>35962</v>
      </c>
      <c r="G8" s="478">
        <v>43430</v>
      </c>
      <c r="H8" s="478">
        <v>0</v>
      </c>
      <c r="I8" s="478">
        <v>47696</v>
      </c>
      <c r="J8" s="478">
        <f>43854+41034</f>
        <v>84888</v>
      </c>
      <c r="K8" s="478">
        <v>0</v>
      </c>
      <c r="L8" s="478">
        <f>48642+42770</f>
        <v>91412</v>
      </c>
      <c r="M8" s="478">
        <v>0</v>
      </c>
      <c r="N8" s="479">
        <f>SUM(B8:M8)</f>
        <v>433762</v>
      </c>
    </row>
    <row r="9" spans="1:14" ht="24">
      <c r="A9" s="478" t="s">
        <v>19</v>
      </c>
      <c r="B9" s="478">
        <v>28734</v>
      </c>
      <c r="C9" s="478">
        <v>30192</v>
      </c>
      <c r="D9" s="478">
        <v>28304</v>
      </c>
      <c r="E9" s="478">
        <v>25310</v>
      </c>
      <c r="F9" s="478">
        <v>3186</v>
      </c>
      <c r="G9" s="478">
        <v>31742</v>
      </c>
      <c r="H9" s="478">
        <v>35432</v>
      </c>
      <c r="I9" s="478">
        <v>38852</v>
      </c>
      <c r="J9" s="478">
        <v>39894</v>
      </c>
      <c r="K9" s="478">
        <v>38876</v>
      </c>
      <c r="L9" s="478">
        <v>43734</v>
      </c>
      <c r="M9" s="478">
        <v>38434</v>
      </c>
      <c r="N9" s="479">
        <f>SUM(B9:M9)</f>
        <v>382690</v>
      </c>
    </row>
    <row r="10" spans="1:14" ht="24">
      <c r="A10" s="478" t="s">
        <v>50</v>
      </c>
      <c r="B10" s="478">
        <f>SUM(B7+B8-B9)</f>
        <v>338207</v>
      </c>
      <c r="C10" s="478">
        <f aca="true" t="shared" si="1" ref="C10:M10">SUM(C7+C8-C9)</f>
        <v>339899</v>
      </c>
      <c r="D10" s="478">
        <f t="shared" si="1"/>
        <v>342239</v>
      </c>
      <c r="E10" s="478">
        <f t="shared" si="1"/>
        <v>316929</v>
      </c>
      <c r="F10" s="478">
        <f t="shared" si="1"/>
        <v>349705</v>
      </c>
      <c r="G10" s="478">
        <f t="shared" si="1"/>
        <v>361393</v>
      </c>
      <c r="H10" s="478">
        <f t="shared" si="1"/>
        <v>325961</v>
      </c>
      <c r="I10" s="478">
        <f t="shared" si="1"/>
        <v>334805</v>
      </c>
      <c r="J10" s="478">
        <f t="shared" si="1"/>
        <v>379799</v>
      </c>
      <c r="K10" s="478">
        <f t="shared" si="1"/>
        <v>340923</v>
      </c>
      <c r="L10" s="478">
        <f t="shared" si="1"/>
        <v>388601</v>
      </c>
      <c r="M10" s="478">
        <f t="shared" si="1"/>
        <v>350167</v>
      </c>
      <c r="N10" s="479">
        <f>SUM(N7+N8-N9)</f>
        <v>401239</v>
      </c>
    </row>
  </sheetData>
  <sheetProtection/>
  <mergeCells count="3">
    <mergeCell ref="A1:M1"/>
    <mergeCell ref="A2:M2"/>
    <mergeCell ref="A3:M3"/>
  </mergeCells>
  <printOptions/>
  <pageMargins left="0.24" right="0.1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E82" sqref="E82"/>
    </sheetView>
  </sheetViews>
  <sheetFormatPr defaultColWidth="9.140625" defaultRowHeight="19.5" customHeight="1"/>
  <cols>
    <col min="1" max="1" width="52.8515625" style="177" customWidth="1"/>
    <col min="2" max="2" width="10.421875" style="106" customWidth="1"/>
    <col min="3" max="3" width="15.421875" style="178" customWidth="1"/>
    <col min="4" max="4" width="16.00390625" style="177" customWidth="1"/>
    <col min="5" max="5" width="9.140625" style="106" customWidth="1"/>
    <col min="6" max="6" width="11.8515625" style="106" bestFit="1" customWidth="1"/>
    <col min="7" max="16384" width="9.140625" style="106" customWidth="1"/>
  </cols>
  <sheetData>
    <row r="1" spans="1:4" ht="31.5" customHeight="1">
      <c r="A1" s="511" t="s">
        <v>51</v>
      </c>
      <c r="B1" s="511"/>
      <c r="C1" s="511"/>
      <c r="D1" s="511"/>
    </row>
    <row r="2" spans="1:4" ht="24" customHeight="1">
      <c r="A2" s="512" t="s">
        <v>91</v>
      </c>
      <c r="B2" s="512"/>
      <c r="C2" s="512"/>
      <c r="D2" s="512"/>
    </row>
    <row r="3" spans="1:4" ht="24" customHeight="1">
      <c r="A3" s="512" t="s">
        <v>306</v>
      </c>
      <c r="B3" s="512"/>
      <c r="C3" s="512"/>
      <c r="D3" s="512"/>
    </row>
    <row r="4" spans="1:4" ht="24" customHeight="1">
      <c r="A4" s="512" t="s">
        <v>241</v>
      </c>
      <c r="B4" s="512"/>
      <c r="C4" s="512"/>
      <c r="D4" s="512"/>
    </row>
    <row r="5" spans="1:4" ht="24" customHeight="1">
      <c r="A5" s="107"/>
      <c r="B5" s="107"/>
      <c r="C5" s="107"/>
      <c r="D5" s="107" t="s">
        <v>242</v>
      </c>
    </row>
    <row r="6" spans="1:4" ht="19.5" customHeight="1">
      <c r="A6" s="108"/>
      <c r="B6" s="109" t="s">
        <v>1</v>
      </c>
      <c r="C6" s="110" t="s">
        <v>47</v>
      </c>
      <c r="D6" s="111" t="s">
        <v>40</v>
      </c>
    </row>
    <row r="7" spans="1:4" ht="21.75" customHeight="1">
      <c r="A7" s="112" t="s">
        <v>243</v>
      </c>
      <c r="B7" s="113">
        <v>41000000</v>
      </c>
      <c r="C7" s="114"/>
      <c r="D7" s="115"/>
    </row>
    <row r="8" spans="1:4" ht="21.75" customHeight="1">
      <c r="A8" s="116" t="s">
        <v>92</v>
      </c>
      <c r="B8" s="117" t="s">
        <v>244</v>
      </c>
      <c r="C8" s="114"/>
      <c r="D8" s="115"/>
    </row>
    <row r="9" spans="1:6" ht="21.75" customHeight="1">
      <c r="A9" s="118" t="s">
        <v>93</v>
      </c>
      <c r="B9" s="117" t="s">
        <v>245</v>
      </c>
      <c r="C9" s="119">
        <v>440000</v>
      </c>
      <c r="D9" s="120">
        <f>1345+56197.01+245635.92+102542+300+23825.5+240+630+100+10017</f>
        <v>440832.43</v>
      </c>
      <c r="E9" s="106" t="s">
        <v>246</v>
      </c>
      <c r="F9" s="121">
        <f>SUM(C9-D9)</f>
        <v>-832.429999999993</v>
      </c>
    </row>
    <row r="10" spans="1:6" ht="21.75" customHeight="1">
      <c r="A10" s="118" t="s">
        <v>94</v>
      </c>
      <c r="B10" s="117" t="s">
        <v>247</v>
      </c>
      <c r="C10" s="119">
        <v>46000</v>
      </c>
      <c r="D10" s="120">
        <f>7410.16+8453.37+7386.11+8741.47+4896.78+2033.38+594.95+1287.25+2165.97</f>
        <v>42969.439999999995</v>
      </c>
      <c r="F10" s="121">
        <f>SUM(C10-D10)</f>
        <v>3030.560000000005</v>
      </c>
    </row>
    <row r="11" spans="1:6" ht="21.75" customHeight="1">
      <c r="A11" s="118" t="s">
        <v>95</v>
      </c>
      <c r="B11" s="122" t="s">
        <v>248</v>
      </c>
      <c r="C11" s="123">
        <v>24000</v>
      </c>
      <c r="D11" s="120">
        <f>10780+3180+11600</f>
        <v>25560</v>
      </c>
      <c r="F11" s="121">
        <f>SUM(C11-D11)</f>
        <v>-1560</v>
      </c>
    </row>
    <row r="12" spans="1:4" ht="21.75" customHeight="1">
      <c r="A12" s="124" t="s">
        <v>14</v>
      </c>
      <c r="B12" s="125"/>
      <c r="C12" s="126">
        <f>SUM(C9:C11)</f>
        <v>510000</v>
      </c>
      <c r="D12" s="110">
        <f>SUM(D9:D11)</f>
        <v>509361.87</v>
      </c>
    </row>
    <row r="13" spans="1:4" ht="21.75" customHeight="1">
      <c r="A13" s="116" t="s">
        <v>96</v>
      </c>
      <c r="B13" s="125">
        <v>41200000</v>
      </c>
      <c r="C13" s="127"/>
      <c r="D13" s="120"/>
    </row>
    <row r="14" spans="1:6" ht="21.75" customHeight="1">
      <c r="A14" s="118" t="s">
        <v>249</v>
      </c>
      <c r="B14" s="117" t="s">
        <v>250</v>
      </c>
      <c r="C14" s="119">
        <v>73000</v>
      </c>
      <c r="D14" s="128">
        <f>13880+2640+12480+15200+120+3400+10840+40+14280+480+14240+1840</f>
        <v>89440</v>
      </c>
      <c r="F14" s="129">
        <f aca="true" t="shared" si="0" ref="F14:F25">SUM(C14-D14)</f>
        <v>-16440</v>
      </c>
    </row>
    <row r="15" spans="1:6" ht="21.75" customHeight="1">
      <c r="A15" s="118" t="s">
        <v>251</v>
      </c>
      <c r="B15" s="117" t="s">
        <v>252</v>
      </c>
      <c r="C15" s="119">
        <v>500</v>
      </c>
      <c r="D15" s="128">
        <f>100+130+50+120+120+50+50</f>
        <v>620</v>
      </c>
      <c r="F15" s="129">
        <f t="shared" si="0"/>
        <v>-120</v>
      </c>
    </row>
    <row r="16" spans="1:6" ht="21.75" customHeight="1">
      <c r="A16" s="118" t="s">
        <v>253</v>
      </c>
      <c r="B16" s="117" t="s">
        <v>254</v>
      </c>
      <c r="C16" s="119">
        <v>1500</v>
      </c>
      <c r="D16" s="128">
        <f>118.75+48+684+285+51</f>
        <v>1186.75</v>
      </c>
      <c r="F16" s="129">
        <f t="shared" si="0"/>
        <v>313.25</v>
      </c>
    </row>
    <row r="17" spans="1:6" ht="21.75" customHeight="1">
      <c r="A17" s="118" t="s">
        <v>255</v>
      </c>
      <c r="B17" s="117" t="s">
        <v>256</v>
      </c>
      <c r="C17" s="119">
        <v>10000</v>
      </c>
      <c r="D17" s="128">
        <v>0</v>
      </c>
      <c r="F17" s="129"/>
    </row>
    <row r="18" spans="1:6" ht="21.75" customHeight="1">
      <c r="A18" s="118" t="s">
        <v>257</v>
      </c>
      <c r="B18" s="117" t="s">
        <v>258</v>
      </c>
      <c r="C18" s="119">
        <v>500</v>
      </c>
      <c r="D18" s="128">
        <f>19.4+19.4+232.8+38.8+116.4+19.4+97+38.8+19.4+19.4</f>
        <v>620.8</v>
      </c>
      <c r="F18" s="129"/>
    </row>
    <row r="19" spans="1:6" ht="21.75" customHeight="1">
      <c r="A19" s="118" t="s">
        <v>259</v>
      </c>
      <c r="B19" s="117" t="s">
        <v>260</v>
      </c>
      <c r="C19" s="119">
        <v>3000000</v>
      </c>
      <c r="D19" s="128">
        <f>62616.6+56433.2+37442.25+424192.85+11592.8+88311.25+2571.4+31439.45+12955.9+65648.1+43212.85+286582.1+51572.05+133633.25+304164.8+299424.05+177648.05</f>
        <v>2089440.9500000002</v>
      </c>
      <c r="E19" s="106" t="s">
        <v>261</v>
      </c>
      <c r="F19" s="129"/>
    </row>
    <row r="20" spans="1:6" ht="21.75" customHeight="1">
      <c r="A20" s="118" t="s">
        <v>262</v>
      </c>
      <c r="B20" s="113">
        <v>41219999</v>
      </c>
      <c r="C20" s="119">
        <v>6000</v>
      </c>
      <c r="D20" s="130">
        <f>340+11040+1860+2300+100+240+120+360+120+100+240+340+760+240+580+1000+580</f>
        <v>20320</v>
      </c>
      <c r="F20" s="129">
        <f t="shared" si="0"/>
        <v>-14320</v>
      </c>
    </row>
    <row r="21" spans="1:6" ht="21.75" customHeight="1">
      <c r="A21" s="118" t="s">
        <v>263</v>
      </c>
      <c r="B21" s="117" t="s">
        <v>264</v>
      </c>
      <c r="C21" s="119">
        <v>5000</v>
      </c>
      <c r="D21" s="130">
        <f>450+1900+200+300+250+900</f>
        <v>4000</v>
      </c>
      <c r="F21" s="129">
        <f t="shared" si="0"/>
        <v>1000</v>
      </c>
    </row>
    <row r="22" spans="1:6" ht="21.75" customHeight="1">
      <c r="A22" s="118" t="s">
        <v>265</v>
      </c>
      <c r="B22" s="113">
        <v>41220009</v>
      </c>
      <c r="C22" s="131">
        <v>1000</v>
      </c>
      <c r="D22" s="130">
        <f>35+102.2+107.4+89.9+277.4+46.2+2.9+56.55+67.9+2.6+4.75+35.55+52.55+182.4+179.35+232.19+153.45</f>
        <v>1628.29</v>
      </c>
      <c r="F22" s="129">
        <f t="shared" si="0"/>
        <v>-628.29</v>
      </c>
    </row>
    <row r="23" spans="1:6" ht="21.75" customHeight="1">
      <c r="A23" s="118" t="s">
        <v>266</v>
      </c>
      <c r="B23" s="132">
        <v>41220010</v>
      </c>
      <c r="C23" s="119">
        <v>1000</v>
      </c>
      <c r="D23" s="128">
        <f>15345+42174</f>
        <v>57519</v>
      </c>
      <c r="F23" s="129"/>
    </row>
    <row r="24" spans="1:6" ht="21.75" customHeight="1">
      <c r="A24" s="118" t="s">
        <v>267</v>
      </c>
      <c r="B24" s="117" t="s">
        <v>268</v>
      </c>
      <c r="C24" s="119">
        <v>200</v>
      </c>
      <c r="D24" s="128">
        <f>20+20+20+60+20</f>
        <v>140</v>
      </c>
      <c r="F24" s="129">
        <f>SUM(C24-D24)</f>
        <v>60</v>
      </c>
    </row>
    <row r="25" spans="1:6" ht="21.75" customHeight="1">
      <c r="A25" s="118" t="s">
        <v>269</v>
      </c>
      <c r="B25" s="122" t="s">
        <v>270</v>
      </c>
      <c r="C25" s="131">
        <v>1000</v>
      </c>
      <c r="D25" s="128">
        <v>0</v>
      </c>
      <c r="F25" s="129">
        <f t="shared" si="0"/>
        <v>1000</v>
      </c>
    </row>
    <row r="26" spans="1:4" ht="21.75" customHeight="1">
      <c r="A26" s="124" t="s">
        <v>14</v>
      </c>
      <c r="B26" s="117"/>
      <c r="C26" s="133">
        <f>SUM(C14:C25)</f>
        <v>3099700</v>
      </c>
      <c r="D26" s="110">
        <f>SUM(D13:D25)</f>
        <v>2264915.79</v>
      </c>
    </row>
    <row r="27" spans="1:4" ht="21.75" customHeight="1">
      <c r="A27" s="116" t="s">
        <v>39</v>
      </c>
      <c r="B27" s="113">
        <v>41300000</v>
      </c>
      <c r="C27" s="114"/>
      <c r="D27" s="134"/>
    </row>
    <row r="28" spans="1:6" s="135" customFormat="1" ht="21.75" customHeight="1">
      <c r="A28" s="118" t="s">
        <v>97</v>
      </c>
      <c r="B28" s="113">
        <v>41300003</v>
      </c>
      <c r="C28" s="119">
        <v>130000</v>
      </c>
      <c r="D28" s="119">
        <f>54039.81+4070.53+45598.71+14723.74</f>
        <v>118432.79</v>
      </c>
      <c r="F28" s="136">
        <f>SUM(C28-D28)</f>
        <v>11567.210000000006</v>
      </c>
    </row>
    <row r="29" spans="1:6" ht="21.75" customHeight="1">
      <c r="A29" s="118" t="s">
        <v>271</v>
      </c>
      <c r="B29" s="117" t="s">
        <v>272</v>
      </c>
      <c r="C29" s="119">
        <v>1000</v>
      </c>
      <c r="D29" s="147">
        <v>0</v>
      </c>
      <c r="F29" s="121">
        <f>SUM(C29-D29)</f>
        <v>1000</v>
      </c>
    </row>
    <row r="30" spans="1:4" ht="21.75" customHeight="1">
      <c r="A30" s="124" t="s">
        <v>14</v>
      </c>
      <c r="B30" s="137"/>
      <c r="C30" s="126">
        <f>SUM(C28:C29)</f>
        <v>131000</v>
      </c>
      <c r="D30" s="110">
        <f>SUM(D28:D29)</f>
        <v>118432.79</v>
      </c>
    </row>
    <row r="31" spans="1:4" ht="21.75" customHeight="1">
      <c r="A31" s="116" t="s">
        <v>98</v>
      </c>
      <c r="B31" s="113">
        <v>41400000</v>
      </c>
      <c r="C31" s="138"/>
      <c r="D31" s="139"/>
    </row>
    <row r="32" spans="1:6" ht="21.75" customHeight="1">
      <c r="A32" s="140" t="s">
        <v>273</v>
      </c>
      <c r="B32" s="113">
        <v>41400006</v>
      </c>
      <c r="C32" s="141">
        <v>350000</v>
      </c>
      <c r="D32" s="128">
        <f>67846+31884+30644+35962+43430+47696+84888+91412</f>
        <v>433762</v>
      </c>
      <c r="F32" s="121">
        <f>SUM(C32-D32)</f>
        <v>-83762</v>
      </c>
    </row>
    <row r="33" spans="1:4" ht="21.75" customHeight="1">
      <c r="A33" s="142" t="s">
        <v>14</v>
      </c>
      <c r="B33" s="143"/>
      <c r="C33" s="126">
        <f>SUM(C32)</f>
        <v>350000</v>
      </c>
      <c r="D33" s="110">
        <f>SUM(D31:D32)</f>
        <v>433762</v>
      </c>
    </row>
    <row r="34" spans="1:4" ht="21.75" customHeight="1">
      <c r="A34" s="107"/>
      <c r="B34" s="144"/>
      <c r="C34" s="145"/>
      <c r="D34" s="468"/>
    </row>
    <row r="35" spans="1:4" ht="21.75" customHeight="1">
      <c r="A35" s="107"/>
      <c r="B35" s="144"/>
      <c r="C35" s="145"/>
      <c r="D35" s="468"/>
    </row>
    <row r="36" spans="1:4" ht="19.5" customHeight="1">
      <c r="A36" s="107"/>
      <c r="B36" s="144"/>
      <c r="C36" s="145"/>
      <c r="D36" s="146" t="s">
        <v>274</v>
      </c>
    </row>
    <row r="37" spans="1:4" ht="21.75" customHeight="1">
      <c r="A37" s="111" t="s">
        <v>0</v>
      </c>
      <c r="B37" s="109" t="s">
        <v>1</v>
      </c>
      <c r="C37" s="110" t="s">
        <v>47</v>
      </c>
      <c r="D37" s="111" t="s">
        <v>40</v>
      </c>
    </row>
    <row r="38" spans="1:4" ht="21.75" customHeight="1">
      <c r="A38" s="116" t="s">
        <v>99</v>
      </c>
      <c r="B38" s="113">
        <v>41500000</v>
      </c>
      <c r="C38" s="114"/>
      <c r="D38" s="120"/>
    </row>
    <row r="39" spans="1:4" ht="21.75" customHeight="1">
      <c r="A39" s="118" t="s">
        <v>122</v>
      </c>
      <c r="B39" s="117" t="s">
        <v>275</v>
      </c>
      <c r="C39" s="119">
        <v>5000</v>
      </c>
      <c r="D39" s="120">
        <f>31000</f>
        <v>31000</v>
      </c>
    </row>
    <row r="40" spans="1:4" s="135" customFormat="1" ht="21.75" customHeight="1">
      <c r="A40" s="118" t="s">
        <v>100</v>
      </c>
      <c r="B40" s="117" t="s">
        <v>276</v>
      </c>
      <c r="C40" s="119">
        <v>5000</v>
      </c>
      <c r="D40" s="120">
        <f>10000</f>
        <v>10000</v>
      </c>
    </row>
    <row r="41" spans="1:4" ht="21.75" customHeight="1">
      <c r="A41" s="118" t="s">
        <v>101</v>
      </c>
      <c r="B41" s="117" t="s">
        <v>277</v>
      </c>
      <c r="C41" s="119">
        <v>500</v>
      </c>
      <c r="D41" s="147">
        <v>0</v>
      </c>
    </row>
    <row r="42" spans="1:4" s="135" customFormat="1" ht="21.75" customHeight="1">
      <c r="A42" s="118" t="s">
        <v>278</v>
      </c>
      <c r="B42" s="117" t="s">
        <v>276</v>
      </c>
      <c r="C42" s="119"/>
      <c r="D42" s="120">
        <f>350+1400+2450</f>
        <v>4200</v>
      </c>
    </row>
    <row r="43" spans="1:4" ht="21.75" customHeight="1">
      <c r="A43" s="124" t="s">
        <v>14</v>
      </c>
      <c r="B43" s="137"/>
      <c r="C43" s="126">
        <f>SUM(C39:C41)</f>
        <v>10500</v>
      </c>
      <c r="D43" s="110">
        <f>SUM(D39:D42)</f>
        <v>45200</v>
      </c>
    </row>
    <row r="44" spans="1:4" ht="21.75" customHeight="1">
      <c r="A44" s="116" t="s">
        <v>132</v>
      </c>
      <c r="B44" s="113">
        <v>41600000</v>
      </c>
      <c r="C44" s="114"/>
      <c r="D44" s="139"/>
    </row>
    <row r="45" spans="1:6" ht="21.75" customHeight="1">
      <c r="A45" s="118" t="s">
        <v>279</v>
      </c>
      <c r="B45" s="117" t="s">
        <v>280</v>
      </c>
      <c r="C45" s="119">
        <v>1000</v>
      </c>
      <c r="D45" s="120">
        <f>3240</f>
        <v>3240</v>
      </c>
      <c r="F45" s="121">
        <f>SUM(C45-D45)</f>
        <v>-2240</v>
      </c>
    </row>
    <row r="46" spans="1:4" ht="21.75" customHeight="1">
      <c r="A46" s="124" t="s">
        <v>14</v>
      </c>
      <c r="B46" s="137"/>
      <c r="C46" s="126">
        <f>SUM(C45:C45)</f>
        <v>1000</v>
      </c>
      <c r="D46" s="110">
        <f>SUM(D45:D45)</f>
        <v>3240</v>
      </c>
    </row>
    <row r="47" spans="1:4" ht="21.75" customHeight="1">
      <c r="A47" s="148" t="s">
        <v>102</v>
      </c>
      <c r="B47" s="144"/>
      <c r="C47" s="114"/>
      <c r="D47" s="149">
        <f>SUM(D12+D26+D30+D33+D43+D46)</f>
        <v>3374912.45</v>
      </c>
    </row>
    <row r="48" spans="1:4" ht="21.75" customHeight="1">
      <c r="A48" s="150" t="s">
        <v>103</v>
      </c>
      <c r="B48" s="113">
        <v>42000000</v>
      </c>
      <c r="C48" s="119"/>
      <c r="D48" s="119"/>
    </row>
    <row r="49" spans="1:4" ht="21.75" customHeight="1">
      <c r="A49" s="116" t="s">
        <v>104</v>
      </c>
      <c r="B49" s="113">
        <v>42100000</v>
      </c>
      <c r="C49" s="151"/>
      <c r="D49" s="120"/>
    </row>
    <row r="50" spans="1:6" ht="21.75" customHeight="1">
      <c r="A50" s="140" t="s">
        <v>105</v>
      </c>
      <c r="B50" s="113">
        <v>42100001</v>
      </c>
      <c r="C50" s="152">
        <v>420000</v>
      </c>
      <c r="D50" s="120">
        <f>52204.17+23185.38+38750.12+83434.71+38388.23+51207.38+80663.01+40296.02+87494.69</f>
        <v>495623.71</v>
      </c>
      <c r="F50" s="129"/>
    </row>
    <row r="51" spans="1:6" ht="21.75" customHeight="1">
      <c r="A51" s="118" t="s">
        <v>136</v>
      </c>
      <c r="B51" s="113">
        <v>42100002</v>
      </c>
      <c r="C51" s="141">
        <v>7200000</v>
      </c>
      <c r="D51" s="147">
        <f>676220.03+593132.85+628724.8+1228618.04+665287.34+1304670.7+679137.58+750384.7+1355603.15</f>
        <v>7881779.1899999995</v>
      </c>
      <c r="F51" s="129"/>
    </row>
    <row r="52" spans="1:6" ht="21.75" customHeight="1">
      <c r="A52" s="118" t="s">
        <v>281</v>
      </c>
      <c r="B52" s="113">
        <v>42100004</v>
      </c>
      <c r="C52" s="141">
        <v>1600000</v>
      </c>
      <c r="D52" s="128">
        <f>195149.36+62657.39+128914.09+165997.21+210623.71+87469.47+296496.76+180287.13+129720.28+141231.69+184697.2</f>
        <v>1783244.2899999996</v>
      </c>
      <c r="F52" s="129"/>
    </row>
    <row r="53" spans="1:6" ht="21.75" customHeight="1">
      <c r="A53" s="118" t="s">
        <v>106</v>
      </c>
      <c r="B53" s="113">
        <v>42100005</v>
      </c>
      <c r="C53" s="141">
        <v>49000</v>
      </c>
      <c r="D53" s="147">
        <f>17426.61+30800.52+14229.48</f>
        <v>62456.61</v>
      </c>
      <c r="F53" s="129"/>
    </row>
    <row r="54" spans="1:6" ht="21.75" customHeight="1">
      <c r="A54" s="118" t="s">
        <v>107</v>
      </c>
      <c r="B54" s="113">
        <v>42100006</v>
      </c>
      <c r="C54" s="141">
        <v>800000</v>
      </c>
      <c r="D54" s="128">
        <f>73604.57+59790.89+69272.58+99032.2+65214.3+81049.56+176083.66+70790.68+81657.23+74648.54+88585.54</f>
        <v>939729.75</v>
      </c>
      <c r="F54" s="129"/>
    </row>
    <row r="55" spans="1:6" ht="21.75" customHeight="1">
      <c r="A55" s="118" t="s">
        <v>108</v>
      </c>
      <c r="B55" s="113">
        <v>42100007</v>
      </c>
      <c r="C55" s="141">
        <v>1500000</v>
      </c>
      <c r="D55" s="128">
        <f>205290.8+147424.34+161327.98+205703.23+161969.61+190851.37+414785.58+190681.52+214270.34+182001.29+190332.08</f>
        <v>2264638.14</v>
      </c>
      <c r="F55" s="129"/>
    </row>
    <row r="56" spans="1:6" ht="21.75" customHeight="1">
      <c r="A56" s="118" t="s">
        <v>133</v>
      </c>
      <c r="B56" s="113">
        <v>42100012</v>
      </c>
      <c r="C56" s="141">
        <v>37000</v>
      </c>
      <c r="D56" s="130">
        <f>22415.14+21589.57+21764.79+23640.73</f>
        <v>89410.23</v>
      </c>
      <c r="F56" s="129"/>
    </row>
    <row r="57" spans="1:6" ht="21.75" customHeight="1">
      <c r="A57" s="118" t="s">
        <v>282</v>
      </c>
      <c r="B57" s="113">
        <v>42100013</v>
      </c>
      <c r="C57" s="141">
        <v>24000</v>
      </c>
      <c r="D57" s="130">
        <f>6870.79+6543.18+7598.93+8186.91</f>
        <v>29199.81</v>
      </c>
      <c r="F57" s="129"/>
    </row>
    <row r="58" spans="1:6" ht="21.75" customHeight="1">
      <c r="A58" s="153" t="s">
        <v>283</v>
      </c>
      <c r="B58" s="113">
        <v>42100015</v>
      </c>
      <c r="C58" s="119">
        <v>374000</v>
      </c>
      <c r="D58" s="130">
        <f>24095+150351+45755+23461+33028+31330+153772+297388+278122+66123+66588</f>
        <v>1170013</v>
      </c>
      <c r="F58" s="129"/>
    </row>
    <row r="59" spans="1:6" ht="21.75" customHeight="1">
      <c r="A59" s="118" t="s">
        <v>284</v>
      </c>
      <c r="B59" s="113">
        <v>42199999</v>
      </c>
      <c r="C59" s="154">
        <v>1000</v>
      </c>
      <c r="D59" s="155">
        <v>0</v>
      </c>
      <c r="F59" s="129"/>
    </row>
    <row r="60" spans="1:6" ht="21.75" customHeight="1">
      <c r="A60" s="124" t="s">
        <v>14</v>
      </c>
      <c r="B60" s="137"/>
      <c r="C60" s="126">
        <f>SUM(C50:C59)</f>
        <v>12005000</v>
      </c>
      <c r="D60" s="110">
        <f>SUM(D50:D59)</f>
        <v>14716094.73</v>
      </c>
      <c r="F60" s="156"/>
    </row>
    <row r="61" spans="1:4" ht="21.75" customHeight="1">
      <c r="A61" s="148" t="s">
        <v>109</v>
      </c>
      <c r="B61" s="144"/>
      <c r="C61" s="114"/>
      <c r="D61" s="149">
        <f>SUM(D47+D60)</f>
        <v>18091007.18</v>
      </c>
    </row>
    <row r="62" spans="1:4" ht="21.75" customHeight="1">
      <c r="A62" s="150" t="s">
        <v>285</v>
      </c>
      <c r="B62" s="113">
        <v>43000000</v>
      </c>
      <c r="C62" s="119"/>
      <c r="D62" s="157"/>
    </row>
    <row r="63" spans="1:4" ht="21.75" customHeight="1">
      <c r="A63" s="116" t="s">
        <v>123</v>
      </c>
      <c r="B63" s="113">
        <v>43100000</v>
      </c>
      <c r="C63" s="114">
        <v>15457110</v>
      </c>
      <c r="D63" s="119"/>
    </row>
    <row r="64" spans="1:4" ht="21.75" customHeight="1">
      <c r="A64" s="118" t="s">
        <v>286</v>
      </c>
      <c r="B64" s="113">
        <v>43100000</v>
      </c>
      <c r="C64" s="114"/>
      <c r="D64" s="147">
        <v>0</v>
      </c>
    </row>
    <row r="65" spans="1:4" ht="21.75" customHeight="1">
      <c r="A65" s="118" t="s">
        <v>287</v>
      </c>
      <c r="B65" s="113">
        <v>43100000</v>
      </c>
      <c r="C65" s="119"/>
      <c r="D65" s="128">
        <f>1279100+1279100+1279100+1279100</f>
        <v>5116400</v>
      </c>
    </row>
    <row r="66" spans="1:4" ht="21.75" customHeight="1">
      <c r="A66" s="118" t="s">
        <v>288</v>
      </c>
      <c r="B66" s="113">
        <v>43100000</v>
      </c>
      <c r="C66" s="119"/>
      <c r="D66" s="128">
        <f>252000+252000+252000+252000</f>
        <v>1008000</v>
      </c>
    </row>
    <row r="67" spans="1:6" ht="21.75" customHeight="1">
      <c r="A67" s="118" t="s">
        <v>289</v>
      </c>
      <c r="B67" s="113">
        <v>43100000</v>
      </c>
      <c r="C67" s="119"/>
      <c r="D67" s="128">
        <f>3000+3000+3000+3000</f>
        <v>12000</v>
      </c>
      <c r="F67" s="156" t="e">
        <f>SUM(#REF!)</f>
        <v>#REF!</v>
      </c>
    </row>
    <row r="68" spans="1:6" ht="21.75" customHeight="1">
      <c r="A68" s="118" t="s">
        <v>290</v>
      </c>
      <c r="B68" s="113">
        <v>43100000</v>
      </c>
      <c r="C68" s="119"/>
      <c r="D68" s="128">
        <f>8880+177600+186480+186480+186480</f>
        <v>745920</v>
      </c>
      <c r="F68" s="156"/>
    </row>
    <row r="69" spans="1:6" ht="21.75" customHeight="1">
      <c r="A69" s="118" t="s">
        <v>291</v>
      </c>
      <c r="B69" s="113">
        <v>43100000</v>
      </c>
      <c r="C69" s="119"/>
      <c r="D69" s="128">
        <f>68400+3420+246390+282750+304650+300840</f>
        <v>1206450</v>
      </c>
      <c r="F69" s="156">
        <f>SUM(D68:D69)</f>
        <v>1952370</v>
      </c>
    </row>
    <row r="70" spans="1:4" ht="21.75" customHeight="1">
      <c r="A70" s="118" t="s">
        <v>292</v>
      </c>
      <c r="B70" s="113">
        <v>43100000</v>
      </c>
      <c r="C70" s="119"/>
      <c r="D70" s="128">
        <v>321300</v>
      </c>
    </row>
    <row r="71" spans="1:6" ht="21.75" customHeight="1">
      <c r="A71" s="158" t="s">
        <v>293</v>
      </c>
      <c r="B71" s="159">
        <v>43100000</v>
      </c>
      <c r="C71" s="160"/>
      <c r="D71" s="161">
        <f>554700+535800+547800+226800+306000</f>
        <v>2171100</v>
      </c>
      <c r="F71" s="106" t="s">
        <v>294</v>
      </c>
    </row>
    <row r="72" spans="1:5" ht="21.75" customHeight="1">
      <c r="A72" s="162"/>
      <c r="B72" s="163"/>
      <c r="C72" s="164"/>
      <c r="D72" s="165" t="s">
        <v>295</v>
      </c>
      <c r="E72" s="166"/>
    </row>
    <row r="73" spans="1:4" ht="21.75" customHeight="1">
      <c r="A73" s="111" t="s">
        <v>0</v>
      </c>
      <c r="B73" s="109" t="s">
        <v>1</v>
      </c>
      <c r="C73" s="110" t="s">
        <v>47</v>
      </c>
      <c r="D73" s="167" t="s">
        <v>40</v>
      </c>
    </row>
    <row r="74" spans="1:4" ht="21.75" customHeight="1">
      <c r="A74" s="116" t="s">
        <v>123</v>
      </c>
      <c r="B74" s="144"/>
      <c r="C74" s="141"/>
      <c r="D74" s="128"/>
    </row>
    <row r="75" spans="1:6" ht="21.75" customHeight="1">
      <c r="A75" s="118" t="s">
        <v>296</v>
      </c>
      <c r="B75" s="113">
        <v>43100000</v>
      </c>
      <c r="C75" s="141"/>
      <c r="D75" s="128">
        <f>238567+238566+244316+237133</f>
        <v>958582</v>
      </c>
      <c r="E75" s="168"/>
      <c r="F75" s="106" t="s">
        <v>297</v>
      </c>
    </row>
    <row r="76" spans="1:5" ht="21.75" customHeight="1">
      <c r="A76" s="467" t="s">
        <v>298</v>
      </c>
      <c r="B76" s="113">
        <v>43100000</v>
      </c>
      <c r="C76" s="141"/>
      <c r="D76" s="128">
        <f>332254-86100-53750</f>
        <v>192404</v>
      </c>
      <c r="E76" s="169"/>
    </row>
    <row r="77" spans="1:4" ht="21.75" customHeight="1">
      <c r="A77" s="118" t="s">
        <v>299</v>
      </c>
      <c r="B77" s="113">
        <v>43100000</v>
      </c>
      <c r="C77" s="141"/>
      <c r="D77" s="147">
        <v>0</v>
      </c>
    </row>
    <row r="78" spans="1:4" ht="21.75" customHeight="1">
      <c r="A78" s="137" t="s">
        <v>300</v>
      </c>
      <c r="B78" s="113">
        <v>43100002</v>
      </c>
      <c r="C78" s="114"/>
      <c r="D78" s="119">
        <f>1415225+1415226</f>
        <v>2830451</v>
      </c>
    </row>
    <row r="79" spans="1:4" ht="21.75" customHeight="1" thickBot="1">
      <c r="A79" s="148" t="s">
        <v>124</v>
      </c>
      <c r="B79" s="144"/>
      <c r="C79" s="126">
        <f>SUM(C63)</f>
        <v>15457110</v>
      </c>
      <c r="D79" s="170">
        <f>SUM(D64:D78)</f>
        <v>14562607</v>
      </c>
    </row>
    <row r="80" spans="1:4" ht="21.75" customHeight="1">
      <c r="A80" s="171" t="s">
        <v>110</v>
      </c>
      <c r="B80" s="144"/>
      <c r="C80" s="114"/>
      <c r="D80" s="172">
        <f>SUM(D61+D79)</f>
        <v>32653614.18</v>
      </c>
    </row>
    <row r="81" spans="1:4" ht="21.75" customHeight="1">
      <c r="A81" s="116" t="s">
        <v>301</v>
      </c>
      <c r="B81" s="113">
        <v>44100000</v>
      </c>
      <c r="C81" s="114"/>
      <c r="D81" s="120"/>
    </row>
    <row r="82" spans="1:4" ht="21.75" customHeight="1">
      <c r="A82" s="173" t="s">
        <v>302</v>
      </c>
      <c r="B82" s="113">
        <v>44100001</v>
      </c>
      <c r="C82" s="114"/>
      <c r="D82" s="120">
        <f>695500+2086500</f>
        <v>2782000</v>
      </c>
    </row>
    <row r="83" spans="1:5" ht="21.75" customHeight="1">
      <c r="A83" s="173" t="s">
        <v>702</v>
      </c>
      <c r="B83" s="113">
        <v>44100002</v>
      </c>
      <c r="C83" s="114"/>
      <c r="D83" s="120">
        <v>498000</v>
      </c>
      <c r="E83" s="106" t="s">
        <v>303</v>
      </c>
    </row>
    <row r="84" spans="1:5" ht="21.75" customHeight="1">
      <c r="A84" s="173" t="s">
        <v>681</v>
      </c>
      <c r="B84" s="113">
        <v>44100003</v>
      </c>
      <c r="C84" s="114"/>
      <c r="D84" s="120">
        <v>1495000</v>
      </c>
      <c r="E84" s="106" t="s">
        <v>304</v>
      </c>
    </row>
    <row r="85" spans="1:5" ht="21.75" customHeight="1">
      <c r="A85" s="173" t="s">
        <v>682</v>
      </c>
      <c r="B85" s="113">
        <v>44100004</v>
      </c>
      <c r="C85" s="114"/>
      <c r="D85" s="120">
        <v>158000</v>
      </c>
      <c r="E85" s="106" t="s">
        <v>305</v>
      </c>
    </row>
    <row r="86" spans="1:4" ht="21.75" customHeight="1">
      <c r="A86" s="124" t="s">
        <v>14</v>
      </c>
      <c r="B86" s="137"/>
      <c r="C86" s="149">
        <f>SUM(C85:C85)</f>
        <v>0</v>
      </c>
      <c r="D86" s="149">
        <f>SUM(D82:D85)</f>
        <v>4933000</v>
      </c>
    </row>
    <row r="87" spans="1:6" ht="21.75" customHeight="1">
      <c r="A87" s="148" t="s">
        <v>111</v>
      </c>
      <c r="B87" s="466"/>
      <c r="C87" s="126">
        <f>SUM(C12+C26+C30+C33+C43+C46+C60+C79)</f>
        <v>31564310</v>
      </c>
      <c r="D87" s="149">
        <f>SUM(D80+D86)</f>
        <v>37586614.18</v>
      </c>
      <c r="F87" s="156"/>
    </row>
    <row r="88" spans="1:4" ht="17.25" customHeight="1">
      <c r="A88" s="174"/>
      <c r="B88" s="175"/>
      <c r="C88" s="145"/>
      <c r="D88" s="176"/>
    </row>
    <row r="89" spans="1:4" ht="18" customHeight="1">
      <c r="A89" s="174"/>
      <c r="B89" s="175"/>
      <c r="C89" s="145"/>
      <c r="D89" s="176"/>
    </row>
    <row r="90" ht="19.5" customHeight="1">
      <c r="D90" s="179"/>
    </row>
  </sheetData>
  <sheetProtection/>
  <mergeCells count="4">
    <mergeCell ref="A1:D1"/>
    <mergeCell ref="A2:D2"/>
    <mergeCell ref="A3:D3"/>
    <mergeCell ref="A4:D4"/>
  </mergeCells>
  <printOptions/>
  <pageMargins left="0.7" right="0.13" top="0.62" bottom="0.44" header="0.3" footer="0.21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46">
      <selection activeCell="L11" sqref="L11"/>
    </sheetView>
  </sheetViews>
  <sheetFormatPr defaultColWidth="9.140625" defaultRowHeight="12.75"/>
  <cols>
    <col min="1" max="1" width="9.140625" style="6" customWidth="1"/>
    <col min="2" max="2" width="4.57421875" style="6" customWidth="1"/>
    <col min="3" max="8" width="9.140625" style="6" customWidth="1"/>
    <col min="9" max="9" width="17.421875" style="6" customWidth="1"/>
    <col min="10" max="16384" width="9.140625" style="6" customWidth="1"/>
  </cols>
  <sheetData>
    <row r="1" spans="1:10" ht="27.75">
      <c r="A1" s="548" t="s">
        <v>52</v>
      </c>
      <c r="B1" s="548"/>
      <c r="C1" s="548"/>
      <c r="D1" s="548"/>
      <c r="E1" s="548"/>
      <c r="F1" s="548"/>
      <c r="G1" s="548"/>
      <c r="H1" s="548"/>
      <c r="I1" s="548"/>
      <c r="J1" s="548"/>
    </row>
    <row r="2" spans="1:10" ht="27.75">
      <c r="A2" s="548" t="s">
        <v>137</v>
      </c>
      <c r="B2" s="548"/>
      <c r="C2" s="548"/>
      <c r="D2" s="548"/>
      <c r="E2" s="548"/>
      <c r="F2" s="548"/>
      <c r="G2" s="548"/>
      <c r="H2" s="548"/>
      <c r="I2" s="548"/>
      <c r="J2" s="548"/>
    </row>
    <row r="3" spans="1:10" ht="30.75" customHeight="1">
      <c r="A3" s="509" t="s">
        <v>138</v>
      </c>
      <c r="B3" s="509"/>
      <c r="C3" s="509"/>
      <c r="D3" s="509"/>
      <c r="E3" s="509"/>
      <c r="F3" s="509"/>
      <c r="G3" s="509"/>
      <c r="H3" s="509"/>
      <c r="I3" s="509"/>
      <c r="J3" s="509"/>
    </row>
    <row r="4" ht="24">
      <c r="A4" s="7" t="s">
        <v>139</v>
      </c>
    </row>
    <row r="5" ht="24">
      <c r="B5" s="6" t="s">
        <v>140</v>
      </c>
    </row>
    <row r="6" ht="24">
      <c r="A6" s="6" t="s">
        <v>141</v>
      </c>
    </row>
    <row r="7" ht="24">
      <c r="A7" s="6" t="s">
        <v>142</v>
      </c>
    </row>
    <row r="8" ht="24">
      <c r="A8" s="6" t="s">
        <v>143</v>
      </c>
    </row>
    <row r="9" ht="24">
      <c r="A9" s="6" t="s">
        <v>144</v>
      </c>
    </row>
    <row r="10" ht="24">
      <c r="A10" s="6" t="s">
        <v>145</v>
      </c>
    </row>
    <row r="11" ht="24">
      <c r="A11" s="6" t="s">
        <v>146</v>
      </c>
    </row>
    <row r="12" ht="24">
      <c r="A12" s="7" t="s">
        <v>147</v>
      </c>
    </row>
    <row r="13" spans="1:3" ht="24">
      <c r="A13" s="6" t="s">
        <v>148</v>
      </c>
      <c r="C13" s="6" t="s">
        <v>149</v>
      </c>
    </row>
    <row r="14" spans="1:3" ht="24">
      <c r="A14" s="524" t="s">
        <v>150</v>
      </c>
      <c r="B14" s="524"/>
      <c r="C14" s="6" t="s">
        <v>151</v>
      </c>
    </row>
    <row r="15" spans="1:3" ht="24">
      <c r="A15" s="6" t="s">
        <v>152</v>
      </c>
      <c r="C15" s="6" t="s">
        <v>153</v>
      </c>
    </row>
    <row r="16" spans="1:3" ht="24">
      <c r="A16" s="524" t="s">
        <v>154</v>
      </c>
      <c r="B16" s="524"/>
      <c r="C16" s="6" t="s">
        <v>155</v>
      </c>
    </row>
    <row r="17" ht="24">
      <c r="A17" s="6" t="s">
        <v>156</v>
      </c>
    </row>
    <row r="18" ht="24">
      <c r="A18" s="6" t="s">
        <v>157</v>
      </c>
    </row>
    <row r="19" ht="24">
      <c r="A19" s="6" t="s">
        <v>158</v>
      </c>
    </row>
    <row r="20" ht="24">
      <c r="A20" s="6" t="s">
        <v>159</v>
      </c>
    </row>
    <row r="21" ht="24">
      <c r="A21" s="6" t="s">
        <v>160</v>
      </c>
    </row>
    <row r="22" ht="24">
      <c r="A22" s="6" t="s">
        <v>161</v>
      </c>
    </row>
    <row r="23" ht="24">
      <c r="A23" s="6" t="s">
        <v>162</v>
      </c>
    </row>
    <row r="24" ht="24">
      <c r="A24" s="6" t="s">
        <v>163</v>
      </c>
    </row>
    <row r="25" ht="24">
      <c r="A25" s="6" t="s">
        <v>164</v>
      </c>
    </row>
    <row r="26" ht="24">
      <c r="A26" s="6" t="s">
        <v>165</v>
      </c>
    </row>
    <row r="27" s="8" customFormat="1" ht="30" customHeight="1">
      <c r="A27" s="8" t="s">
        <v>166</v>
      </c>
    </row>
    <row r="28" ht="24">
      <c r="B28" s="6" t="s">
        <v>167</v>
      </c>
    </row>
    <row r="29" ht="24">
      <c r="C29" s="6" t="s">
        <v>168</v>
      </c>
    </row>
    <row r="30" ht="24">
      <c r="A30" s="6" t="s">
        <v>169</v>
      </c>
    </row>
    <row r="31" ht="24">
      <c r="A31" s="6" t="s">
        <v>170</v>
      </c>
    </row>
  </sheetData>
  <sheetProtection/>
  <mergeCells count="5">
    <mergeCell ref="A1:J1"/>
    <mergeCell ref="A2:J2"/>
    <mergeCell ref="A3:J3"/>
    <mergeCell ref="A14:B14"/>
    <mergeCell ref="A16:B16"/>
  </mergeCells>
  <printOptions/>
  <pageMargins left="0.7" right="0.7" top="0.75" bottom="0.57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C41">
      <selection activeCell="H46" sqref="H46:K51"/>
    </sheetView>
  </sheetViews>
  <sheetFormatPr defaultColWidth="9.140625" defaultRowHeight="12.75"/>
  <cols>
    <col min="1" max="1" width="7.7109375" style="0" customWidth="1"/>
    <col min="2" max="2" width="41.00390625" style="0" customWidth="1"/>
    <col min="3" max="3" width="17.28125" style="0" customWidth="1"/>
    <col min="4" max="4" width="15.28125" style="0" customWidth="1"/>
    <col min="5" max="5" width="3.140625" style="470" customWidth="1"/>
    <col min="6" max="6" width="15.140625" style="0" customWidth="1"/>
    <col min="7" max="7" width="9.140625" style="1" customWidth="1"/>
    <col min="8" max="8" width="12.8515625" style="1" customWidth="1"/>
    <col min="9" max="13" width="9.140625" style="1" customWidth="1"/>
  </cols>
  <sheetData>
    <row r="1" spans="1:6" ht="27.75" customHeight="1">
      <c r="A1" s="513" t="s">
        <v>205</v>
      </c>
      <c r="B1" s="513"/>
      <c r="C1" s="513"/>
      <c r="D1" s="513"/>
      <c r="E1" s="513"/>
      <c r="F1" s="513"/>
    </row>
    <row r="2" spans="1:6" ht="27.75" customHeight="1">
      <c r="A2" s="513" t="s">
        <v>220</v>
      </c>
      <c r="B2" s="513"/>
      <c r="C2" s="513"/>
      <c r="D2" s="513"/>
      <c r="E2" s="513"/>
      <c r="F2" s="513"/>
    </row>
    <row r="3" spans="1:6" ht="27.75" customHeight="1">
      <c r="A3" s="514" t="s">
        <v>221</v>
      </c>
      <c r="B3" s="514"/>
      <c r="C3" s="514"/>
      <c r="D3" s="514"/>
      <c r="E3" s="514"/>
      <c r="F3" s="514"/>
    </row>
    <row r="4" spans="1:6" ht="24" customHeight="1">
      <c r="A4" s="517" t="s">
        <v>0</v>
      </c>
      <c r="B4" s="519"/>
      <c r="C4" s="515" t="s">
        <v>47</v>
      </c>
      <c r="D4" s="515" t="s">
        <v>19</v>
      </c>
      <c r="E4" s="471" t="s">
        <v>212</v>
      </c>
      <c r="F4" s="41" t="s">
        <v>17</v>
      </c>
    </row>
    <row r="5" spans="1:6" ht="24" customHeight="1">
      <c r="A5" s="518"/>
      <c r="B5" s="520"/>
      <c r="C5" s="516"/>
      <c r="D5" s="516"/>
      <c r="E5" s="472" t="s">
        <v>3</v>
      </c>
      <c r="F5" s="42" t="s">
        <v>18</v>
      </c>
    </row>
    <row r="6" spans="1:6" ht="24" customHeight="1">
      <c r="A6" s="501" t="s">
        <v>307</v>
      </c>
      <c r="B6" s="461"/>
      <c r="C6" s="36"/>
      <c r="D6" s="68"/>
      <c r="E6" s="473"/>
      <c r="F6" s="36"/>
    </row>
    <row r="7" spans="1:6" ht="25.5" customHeight="1">
      <c r="A7" s="502" t="s">
        <v>213</v>
      </c>
      <c r="B7" s="459"/>
      <c r="C7" s="68"/>
      <c r="D7" s="68"/>
      <c r="E7" s="473"/>
      <c r="F7" s="36"/>
    </row>
    <row r="8" spans="1:6" ht="25.5" customHeight="1">
      <c r="A8" s="356"/>
      <c r="B8" s="459" t="s">
        <v>92</v>
      </c>
      <c r="C8" s="67">
        <v>510000</v>
      </c>
      <c r="D8" s="67">
        <f>430815.43+10017+42969.44+25560</f>
        <v>509361.87</v>
      </c>
      <c r="E8" s="473" t="s">
        <v>3</v>
      </c>
      <c r="F8" s="70">
        <f aca="true" t="shared" si="0" ref="F8:F14">SUM(D8-C8)</f>
        <v>-638.1300000000047</v>
      </c>
    </row>
    <row r="9" spans="1:6" ht="25.5" customHeight="1">
      <c r="A9" s="356"/>
      <c r="B9" s="459" t="s">
        <v>308</v>
      </c>
      <c r="C9" s="67">
        <v>3099700</v>
      </c>
      <c r="D9" s="67">
        <f>2087267.74+177648.05</f>
        <v>2264915.79</v>
      </c>
      <c r="E9" s="473" t="s">
        <v>3</v>
      </c>
      <c r="F9" s="70">
        <f t="shared" si="0"/>
        <v>-834784.21</v>
      </c>
    </row>
    <row r="10" spans="1:6" ht="25.5" customHeight="1">
      <c r="A10" s="356"/>
      <c r="B10" s="459" t="s">
        <v>39</v>
      </c>
      <c r="C10" s="67">
        <v>131000</v>
      </c>
      <c r="D10" s="67">
        <v>118432.79</v>
      </c>
      <c r="E10" s="473" t="s">
        <v>3</v>
      </c>
      <c r="F10" s="70">
        <f t="shared" si="0"/>
        <v>-12567.210000000006</v>
      </c>
    </row>
    <row r="11" spans="1:6" ht="25.5" customHeight="1">
      <c r="A11" s="356"/>
      <c r="B11" s="459" t="s">
        <v>98</v>
      </c>
      <c r="C11" s="503">
        <v>350000</v>
      </c>
      <c r="D11" s="503">
        <v>433762</v>
      </c>
      <c r="E11" s="473" t="s">
        <v>212</v>
      </c>
      <c r="F11" s="70">
        <f t="shared" si="0"/>
        <v>83762</v>
      </c>
    </row>
    <row r="12" spans="1:6" ht="25.5" customHeight="1">
      <c r="A12" s="356"/>
      <c r="B12" s="459" t="s">
        <v>99</v>
      </c>
      <c r="C12" s="67">
        <v>10500</v>
      </c>
      <c r="D12" s="67">
        <v>45200</v>
      </c>
      <c r="E12" s="473" t="s">
        <v>212</v>
      </c>
      <c r="F12" s="70">
        <f t="shared" si="0"/>
        <v>34700</v>
      </c>
    </row>
    <row r="13" spans="1:6" ht="25.5" customHeight="1">
      <c r="A13" s="356"/>
      <c r="B13" s="459" t="s">
        <v>132</v>
      </c>
      <c r="C13" s="503">
        <v>1000</v>
      </c>
      <c r="D13" s="503">
        <v>3240</v>
      </c>
      <c r="E13" s="473" t="s">
        <v>212</v>
      </c>
      <c r="F13" s="70">
        <f t="shared" si="0"/>
        <v>2240</v>
      </c>
    </row>
    <row r="14" spans="1:6" ht="25.5" customHeight="1">
      <c r="A14" s="356"/>
      <c r="B14" s="459" t="s">
        <v>104</v>
      </c>
      <c r="C14" s="67">
        <v>12005000</v>
      </c>
      <c r="D14" s="67">
        <v>14716094.73</v>
      </c>
      <c r="E14" s="473" t="s">
        <v>212</v>
      </c>
      <c r="F14" s="70">
        <f t="shared" si="0"/>
        <v>2711094.7300000004</v>
      </c>
    </row>
    <row r="15" spans="1:6" ht="25.5" customHeight="1">
      <c r="A15" s="358"/>
      <c r="B15" s="448" t="s">
        <v>123</v>
      </c>
      <c r="C15" s="67">
        <v>15457110</v>
      </c>
      <c r="D15" s="67">
        <v>14562607</v>
      </c>
      <c r="E15" s="473" t="s">
        <v>212</v>
      </c>
      <c r="F15" s="70">
        <f>SUM(D15-C15)</f>
        <v>-894503</v>
      </c>
    </row>
    <row r="16" spans="1:9" ht="25.5" customHeight="1" thickBot="1">
      <c r="A16" s="521" t="s">
        <v>214</v>
      </c>
      <c r="B16" s="522"/>
      <c r="C16" s="72">
        <f>SUM(C8:C15)</f>
        <v>31564310</v>
      </c>
      <c r="D16" s="73">
        <f>SUM(D8:D15)</f>
        <v>32653614.18</v>
      </c>
      <c r="E16" s="213" t="s">
        <v>22</v>
      </c>
      <c r="F16" s="74">
        <f>SUM(D16-C16)</f>
        <v>1089304.1799999997</v>
      </c>
      <c r="H16" s="1">
        <v>32465949.13</v>
      </c>
      <c r="I16" s="1" t="s">
        <v>226</v>
      </c>
    </row>
    <row r="17" spans="1:9" ht="25.5" customHeight="1" thickTop="1">
      <c r="A17" s="6" t="s">
        <v>222</v>
      </c>
      <c r="B17" s="6"/>
      <c r="C17" s="6"/>
      <c r="D17" s="445">
        <f>2782000+2151000</f>
        <v>4933000</v>
      </c>
      <c r="E17" s="434"/>
      <c r="F17" s="6"/>
      <c r="H17" s="1">
        <v>10017</v>
      </c>
      <c r="I17" s="1" t="s">
        <v>227</v>
      </c>
    </row>
    <row r="18" spans="1:9" ht="25.5" customHeight="1">
      <c r="A18" s="6" t="s">
        <v>223</v>
      </c>
      <c r="B18" s="6"/>
      <c r="C18" s="6"/>
      <c r="D18" s="68">
        <f>SUM(D17)</f>
        <v>4933000</v>
      </c>
      <c r="E18" s="434"/>
      <c r="F18" s="77"/>
      <c r="H18" s="1">
        <v>177648.05</v>
      </c>
      <c r="I18" s="1" t="s">
        <v>228</v>
      </c>
    </row>
    <row r="19" spans="1:9" ht="25.5" customHeight="1" thickBot="1">
      <c r="A19" s="6"/>
      <c r="B19" s="50" t="s">
        <v>215</v>
      </c>
      <c r="C19" s="6"/>
      <c r="D19" s="78">
        <f>SUM(D16+D18)</f>
        <v>37586614.18</v>
      </c>
      <c r="E19" s="434"/>
      <c r="F19" s="6"/>
      <c r="H19" s="83">
        <f>SUM(H16:H18)</f>
        <v>32653614.18</v>
      </c>
      <c r="I19" s="1" t="s">
        <v>229</v>
      </c>
    </row>
    <row r="20" spans="1:6" ht="24" customHeight="1" thickTop="1">
      <c r="A20" s="6"/>
      <c r="B20" s="6"/>
      <c r="C20" s="6"/>
      <c r="D20" s="62"/>
      <c r="E20" s="434"/>
      <c r="F20" s="6"/>
    </row>
    <row r="21" spans="1:6" ht="24" customHeight="1">
      <c r="A21" s="6"/>
      <c r="B21" s="6"/>
      <c r="C21" s="6"/>
      <c r="D21" s="62"/>
      <c r="E21" s="434"/>
      <c r="F21" s="6"/>
    </row>
    <row r="22" spans="1:6" ht="24" customHeight="1">
      <c r="A22" s="6"/>
      <c r="B22" s="6"/>
      <c r="C22" s="6"/>
      <c r="D22" s="62"/>
      <c r="E22" s="434"/>
      <c r="F22" s="6"/>
    </row>
    <row r="23" spans="1:6" ht="24" customHeight="1">
      <c r="A23" s="6"/>
      <c r="B23" s="6"/>
      <c r="C23" s="6"/>
      <c r="D23" s="62"/>
      <c r="E23" s="434"/>
      <c r="F23" s="6"/>
    </row>
    <row r="24" spans="1:6" ht="24" customHeight="1">
      <c r="A24" s="6"/>
      <c r="B24" s="6"/>
      <c r="C24" s="6"/>
      <c r="D24" s="62"/>
      <c r="E24" s="434"/>
      <c r="F24" s="6"/>
    </row>
    <row r="25" spans="1:6" ht="24" customHeight="1">
      <c r="A25" s="6"/>
      <c r="B25" s="6"/>
      <c r="C25" s="6"/>
      <c r="D25" s="62"/>
      <c r="E25" s="434"/>
      <c r="F25" s="6"/>
    </row>
    <row r="26" spans="1:6" ht="24" customHeight="1">
      <c r="A26" s="6"/>
      <c r="B26" s="6"/>
      <c r="C26" s="6"/>
      <c r="D26" s="62"/>
      <c r="E26" s="434"/>
      <c r="F26" s="6"/>
    </row>
    <row r="27" spans="1:6" ht="24" customHeight="1">
      <c r="A27" s="6"/>
      <c r="B27" s="6"/>
      <c r="C27" s="6"/>
      <c r="D27" s="62"/>
      <c r="E27" s="434"/>
      <c r="F27" s="6"/>
    </row>
    <row r="28" spans="1:6" ht="24" customHeight="1">
      <c r="A28" s="6"/>
      <c r="B28" s="6"/>
      <c r="C28" s="6"/>
      <c r="D28" s="62"/>
      <c r="E28" s="434"/>
      <c r="F28" s="6"/>
    </row>
    <row r="29" spans="1:6" ht="24" customHeight="1">
      <c r="A29" s="6"/>
      <c r="B29" s="6"/>
      <c r="C29" s="6"/>
      <c r="D29" s="62"/>
      <c r="E29" s="434"/>
      <c r="F29" s="6"/>
    </row>
    <row r="30" spans="1:6" ht="27.75" customHeight="1">
      <c r="A30" s="513" t="s">
        <v>205</v>
      </c>
      <c r="B30" s="513"/>
      <c r="C30" s="513"/>
      <c r="D30" s="513"/>
      <c r="E30" s="513"/>
      <c r="F30" s="513"/>
    </row>
    <row r="31" spans="1:6" ht="27.75" customHeight="1">
      <c r="A31" s="513" t="s">
        <v>220</v>
      </c>
      <c r="B31" s="513"/>
      <c r="C31" s="513"/>
      <c r="D31" s="513"/>
      <c r="E31" s="513"/>
      <c r="F31" s="513"/>
    </row>
    <row r="32" spans="1:6" ht="27.75" customHeight="1">
      <c r="A32" s="514" t="s">
        <v>221</v>
      </c>
      <c r="B32" s="514"/>
      <c r="C32" s="514"/>
      <c r="D32" s="514"/>
      <c r="E32" s="514"/>
      <c r="F32" s="514"/>
    </row>
    <row r="33" spans="1:6" ht="24" customHeight="1">
      <c r="A33" s="517" t="s">
        <v>0</v>
      </c>
      <c r="B33" s="519"/>
      <c r="C33" s="515" t="s">
        <v>47</v>
      </c>
      <c r="D33" s="517" t="s">
        <v>20</v>
      </c>
      <c r="E33" s="386" t="s">
        <v>212</v>
      </c>
      <c r="F33" s="41" t="s">
        <v>17</v>
      </c>
    </row>
    <row r="34" spans="1:6" ht="24" customHeight="1">
      <c r="A34" s="518"/>
      <c r="B34" s="520"/>
      <c r="C34" s="516"/>
      <c r="D34" s="518"/>
      <c r="E34" s="474" t="s">
        <v>3</v>
      </c>
      <c r="F34" s="42" t="s">
        <v>18</v>
      </c>
    </row>
    <row r="35" spans="1:6" ht="25.5" customHeight="1">
      <c r="A35" s="502" t="s">
        <v>16</v>
      </c>
      <c r="B35" s="459"/>
      <c r="C35" s="79"/>
      <c r="D35" s="79"/>
      <c r="E35" s="208"/>
      <c r="F35" s="68"/>
    </row>
    <row r="36" spans="1:6" ht="25.5" customHeight="1">
      <c r="A36" s="356"/>
      <c r="B36" s="459" t="s">
        <v>309</v>
      </c>
      <c r="C36" s="68">
        <v>7717701</v>
      </c>
      <c r="D36" s="68">
        <v>7115970.7</v>
      </c>
      <c r="E36" s="208" t="s">
        <v>3</v>
      </c>
      <c r="F36" s="68">
        <f aca="true" t="shared" si="1" ref="F36:F45">SUM(C36-D36)</f>
        <v>601730.2999999998</v>
      </c>
    </row>
    <row r="37" spans="1:6" ht="25.5" customHeight="1">
      <c r="A37" s="356"/>
      <c r="B37" s="459" t="s">
        <v>310</v>
      </c>
      <c r="C37" s="68">
        <v>2624640</v>
      </c>
      <c r="D37" s="68">
        <v>2624640</v>
      </c>
      <c r="E37" s="208" t="s">
        <v>3</v>
      </c>
      <c r="F37" s="68">
        <f t="shared" si="1"/>
        <v>0</v>
      </c>
    </row>
    <row r="38" spans="1:6" ht="25.5" customHeight="1">
      <c r="A38" s="356"/>
      <c r="B38" s="459" t="s">
        <v>311</v>
      </c>
      <c r="C38" s="68">
        <v>7294797</v>
      </c>
      <c r="D38" s="68">
        <v>6749875.25</v>
      </c>
      <c r="E38" s="208" t="s">
        <v>3</v>
      </c>
      <c r="F38" s="68">
        <f t="shared" si="1"/>
        <v>544921.75</v>
      </c>
    </row>
    <row r="39" spans="1:6" ht="25.5" customHeight="1">
      <c r="A39" s="356"/>
      <c r="B39" s="459" t="s">
        <v>312</v>
      </c>
      <c r="C39" s="68">
        <v>173200</v>
      </c>
      <c r="D39" s="68">
        <v>102059</v>
      </c>
      <c r="E39" s="208" t="s">
        <v>3</v>
      </c>
      <c r="F39" s="68">
        <f t="shared" si="1"/>
        <v>71141</v>
      </c>
    </row>
    <row r="40" spans="1:6" ht="25.5" customHeight="1">
      <c r="A40" s="356"/>
      <c r="B40" s="459" t="s">
        <v>313</v>
      </c>
      <c r="C40" s="68">
        <v>6970460</v>
      </c>
      <c r="D40" s="68">
        <f>5857698.52+256800</f>
        <v>6114498.52</v>
      </c>
      <c r="E40" s="208" t="s">
        <v>3</v>
      </c>
      <c r="F40" s="68">
        <f t="shared" si="1"/>
        <v>855961.4800000004</v>
      </c>
    </row>
    <row r="41" spans="1:6" ht="25.5" customHeight="1">
      <c r="A41" s="356"/>
      <c r="B41" s="459" t="s">
        <v>314</v>
      </c>
      <c r="C41" s="68">
        <v>2561912</v>
      </c>
      <c r="D41" s="68">
        <f>2030103.6+65654.1</f>
        <v>2095757.7000000002</v>
      </c>
      <c r="E41" s="208" t="s">
        <v>3</v>
      </c>
      <c r="F41" s="68">
        <f t="shared" si="1"/>
        <v>466154.2999999998</v>
      </c>
    </row>
    <row r="42" spans="1:6" ht="25.5" customHeight="1">
      <c r="A42" s="356"/>
      <c r="B42" s="459" t="s">
        <v>315</v>
      </c>
      <c r="C42" s="68">
        <v>845000</v>
      </c>
      <c r="D42" s="68">
        <v>683884.14</v>
      </c>
      <c r="E42" s="208" t="s">
        <v>3</v>
      </c>
      <c r="F42" s="68">
        <f t="shared" si="1"/>
        <v>161115.86</v>
      </c>
    </row>
    <row r="43" spans="1:6" ht="25.5" customHeight="1">
      <c r="A43" s="356"/>
      <c r="B43" s="459" t="s">
        <v>316</v>
      </c>
      <c r="C43" s="68">
        <v>541600</v>
      </c>
      <c r="D43" s="68">
        <f>99222.31+286500</f>
        <v>385722.31</v>
      </c>
      <c r="E43" s="208" t="s">
        <v>3</v>
      </c>
      <c r="F43" s="68">
        <f t="shared" si="1"/>
        <v>155877.69</v>
      </c>
    </row>
    <row r="44" spans="1:6" ht="25.5" customHeight="1">
      <c r="A44" s="356"/>
      <c r="B44" s="459" t="s">
        <v>317</v>
      </c>
      <c r="C44" s="68">
        <v>1278000</v>
      </c>
      <c r="D44" s="68">
        <f>1195000</f>
        <v>1195000</v>
      </c>
      <c r="E44" s="208" t="s">
        <v>3</v>
      </c>
      <c r="F44" s="68">
        <f t="shared" si="1"/>
        <v>83000</v>
      </c>
    </row>
    <row r="45" spans="1:6" ht="25.5" customHeight="1">
      <c r="A45" s="358"/>
      <c r="B45" s="448" t="s">
        <v>318</v>
      </c>
      <c r="C45" s="68">
        <v>1557000</v>
      </c>
      <c r="D45" s="68">
        <v>1451606.77</v>
      </c>
      <c r="E45" s="208" t="s">
        <v>216</v>
      </c>
      <c r="F45" s="68">
        <f t="shared" si="1"/>
        <v>105393.22999999998</v>
      </c>
    </row>
    <row r="46" spans="1:6" ht="25.5" customHeight="1" thickBot="1">
      <c r="A46" s="521" t="s">
        <v>217</v>
      </c>
      <c r="B46" s="522"/>
      <c r="C46" s="78">
        <f>SUM(C36:C45)</f>
        <v>31564310</v>
      </c>
      <c r="D46" s="80">
        <f>SUM(D36:D45)</f>
        <v>28519014.389999997</v>
      </c>
      <c r="E46" s="212" t="s">
        <v>216</v>
      </c>
      <c r="F46" s="80">
        <f>SUM(F36:F45)</f>
        <v>3045295.61</v>
      </c>
    </row>
    <row r="47" spans="1:6" ht="25.5" customHeight="1" thickTop="1">
      <c r="A47" s="524" t="s">
        <v>224</v>
      </c>
      <c r="B47" s="524"/>
      <c r="C47" s="525"/>
      <c r="D47" s="75">
        <f>2782000+2151000</f>
        <v>4933000</v>
      </c>
      <c r="E47" s="3"/>
      <c r="F47" s="6"/>
    </row>
    <row r="48" spans="1:6" ht="25.5" customHeight="1">
      <c r="A48" s="6" t="s">
        <v>225</v>
      </c>
      <c r="B48" s="6"/>
      <c r="C48" s="6"/>
      <c r="D48" s="75">
        <f>SUM(D47)</f>
        <v>4933000</v>
      </c>
      <c r="E48" s="3"/>
      <c r="F48" s="6"/>
    </row>
    <row r="49" spans="1:6" ht="25.5" customHeight="1">
      <c r="A49" s="6"/>
      <c r="B49" s="50" t="s">
        <v>218</v>
      </c>
      <c r="C49" s="6"/>
      <c r="D49" s="80">
        <f>SUM(D46+D48)</f>
        <v>33452014.389999997</v>
      </c>
      <c r="E49" s="3"/>
      <c r="F49" s="6"/>
    </row>
    <row r="50" spans="1:6" ht="25.5" customHeight="1">
      <c r="A50" s="6"/>
      <c r="B50" s="34" t="s">
        <v>48</v>
      </c>
      <c r="C50" s="6"/>
      <c r="D50" s="73">
        <f>+D19-D49</f>
        <v>4134599.790000003</v>
      </c>
      <c r="E50" s="3"/>
      <c r="F50" s="6"/>
    </row>
    <row r="51" spans="1:6" ht="25.5" customHeight="1">
      <c r="A51" s="6"/>
      <c r="B51" s="34" t="s">
        <v>219</v>
      </c>
      <c r="C51" s="6"/>
      <c r="D51" s="68"/>
      <c r="E51" s="3"/>
      <c r="F51" s="6"/>
    </row>
    <row r="52" spans="1:6" ht="25.5" customHeight="1">
      <c r="A52" s="6"/>
      <c r="B52" s="66" t="s">
        <v>49</v>
      </c>
      <c r="C52" s="6"/>
      <c r="D52" s="71"/>
      <c r="E52" s="3"/>
      <c r="F52" s="6"/>
    </row>
    <row r="53" spans="1:6" ht="24" customHeight="1">
      <c r="A53" s="6"/>
      <c r="B53" s="34"/>
      <c r="C53" s="6"/>
      <c r="D53" s="54"/>
      <c r="E53" s="3"/>
      <c r="F53" s="6"/>
    </row>
    <row r="54" spans="1:13" s="4" customFormat="1" ht="25.5" customHeight="1">
      <c r="A54" s="523"/>
      <c r="B54" s="523"/>
      <c r="C54" s="523"/>
      <c r="D54" s="523"/>
      <c r="E54" s="523"/>
      <c r="F54" s="523"/>
      <c r="G54" s="83"/>
      <c r="H54" s="83"/>
      <c r="I54" s="83"/>
      <c r="J54" s="83"/>
      <c r="K54" s="83"/>
      <c r="L54" s="83"/>
      <c r="M54" s="83"/>
    </row>
    <row r="55" spans="1:13" s="4" customFormat="1" ht="24" customHeight="1">
      <c r="A55" s="523"/>
      <c r="B55" s="523"/>
      <c r="C55" s="523"/>
      <c r="D55" s="523"/>
      <c r="E55" s="523"/>
      <c r="F55" s="523"/>
      <c r="G55" s="83"/>
      <c r="H55" s="83"/>
      <c r="I55" s="83"/>
      <c r="J55" s="83"/>
      <c r="K55" s="83"/>
      <c r="L55" s="83"/>
      <c r="M55" s="83"/>
    </row>
    <row r="56" spans="1:13" s="4" customFormat="1" ht="24" customHeight="1">
      <c r="A56" s="523"/>
      <c r="B56" s="523"/>
      <c r="C56" s="523"/>
      <c r="D56" s="523"/>
      <c r="E56" s="523"/>
      <c r="F56" s="523"/>
      <c r="G56" s="83"/>
      <c r="H56" s="83"/>
      <c r="I56" s="83"/>
      <c r="J56" s="83"/>
      <c r="K56" s="83"/>
      <c r="L56" s="83"/>
      <c r="M56" s="83"/>
    </row>
    <row r="57" spans="1:13" s="4" customFormat="1" ht="24" customHeight="1">
      <c r="A57" s="523"/>
      <c r="B57" s="523"/>
      <c r="C57" s="523"/>
      <c r="D57" s="84"/>
      <c r="E57" s="469"/>
      <c r="F57" s="82"/>
      <c r="G57" s="83"/>
      <c r="H57" s="83"/>
      <c r="I57" s="83"/>
      <c r="J57" s="83"/>
      <c r="K57" s="83"/>
      <c r="L57" s="83"/>
      <c r="M57" s="83"/>
    </row>
    <row r="58" spans="1:6" ht="24" customHeight="1">
      <c r="A58" s="6"/>
      <c r="B58" s="34"/>
      <c r="C58" s="6"/>
      <c r="D58" s="54"/>
      <c r="E58" s="3"/>
      <c r="F58" s="6"/>
    </row>
    <row r="59" spans="1:6" ht="24" customHeight="1">
      <c r="A59" s="6"/>
      <c r="B59" s="34"/>
      <c r="C59" s="6"/>
      <c r="D59" s="54"/>
      <c r="E59" s="3"/>
      <c r="F59" s="6"/>
    </row>
    <row r="60" spans="1:6" ht="24" customHeight="1">
      <c r="A60" s="6"/>
      <c r="B60" s="34"/>
      <c r="C60" s="6"/>
      <c r="D60" s="54"/>
      <c r="E60" s="3"/>
      <c r="F60" s="6"/>
    </row>
    <row r="61" spans="1:6" ht="24" customHeight="1">
      <c r="A61" s="6"/>
      <c r="B61" s="34"/>
      <c r="C61" s="6"/>
      <c r="D61" s="54"/>
      <c r="E61" s="3"/>
      <c r="F61" s="6"/>
    </row>
    <row r="62" spans="1:6" ht="24" customHeight="1">
      <c r="A62" s="6"/>
      <c r="B62" s="34"/>
      <c r="C62" s="6"/>
      <c r="D62" s="54"/>
      <c r="E62" s="3"/>
      <c r="F62" s="6"/>
    </row>
    <row r="63" spans="1:6" ht="21.75" customHeight="1">
      <c r="A63" s="6"/>
      <c r="B63" s="34"/>
      <c r="C63" s="6"/>
      <c r="D63" s="54"/>
      <c r="E63" s="3"/>
      <c r="F63" s="6"/>
    </row>
    <row r="64" spans="1:6" ht="21.75" customHeight="1">
      <c r="A64" s="6"/>
      <c r="B64" s="6"/>
      <c r="C64" s="6"/>
      <c r="D64" s="6"/>
      <c r="E64" s="3"/>
      <c r="F64" s="6"/>
    </row>
    <row r="65" spans="1:6" ht="21.75" customHeight="1">
      <c r="A65" s="6"/>
      <c r="B65" s="6"/>
      <c r="C65" s="6"/>
      <c r="D65" s="6"/>
      <c r="E65" s="3"/>
      <c r="F65" s="6"/>
    </row>
    <row r="66" spans="1:6" ht="21.75" customHeight="1">
      <c r="A66" s="63"/>
      <c r="B66" s="63"/>
      <c r="C66" s="6"/>
      <c r="D66" s="6"/>
      <c r="E66" s="3"/>
      <c r="F66" s="6"/>
    </row>
    <row r="67" spans="1:6" ht="21.75" customHeight="1">
      <c r="A67" s="6"/>
      <c r="B67" s="6"/>
      <c r="C67" s="6"/>
      <c r="D67" s="6"/>
      <c r="E67" s="3"/>
      <c r="F67" s="6"/>
    </row>
  </sheetData>
  <sheetProtection/>
  <mergeCells count="19">
    <mergeCell ref="A57:C57"/>
    <mergeCell ref="A54:F54"/>
    <mergeCell ref="A55:F55"/>
    <mergeCell ref="A56:F56"/>
    <mergeCell ref="A47:C47"/>
    <mergeCell ref="A30:F30"/>
    <mergeCell ref="A31:F31"/>
    <mergeCell ref="A32:F32"/>
    <mergeCell ref="A33:B34"/>
    <mergeCell ref="A46:B46"/>
    <mergeCell ref="A1:F1"/>
    <mergeCell ref="A2:F2"/>
    <mergeCell ref="A3:F3"/>
    <mergeCell ref="C4:C5"/>
    <mergeCell ref="D4:D5"/>
    <mergeCell ref="C33:C34"/>
    <mergeCell ref="D33:D34"/>
    <mergeCell ref="A4:B5"/>
    <mergeCell ref="A16:B16"/>
  </mergeCells>
  <printOptions/>
  <pageMargins left="0.37" right="0.11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22">
      <selection activeCell="J56" sqref="J56"/>
    </sheetView>
  </sheetViews>
  <sheetFormatPr defaultColWidth="9.140625" defaultRowHeight="12.75"/>
  <cols>
    <col min="1" max="1" width="5.00390625" style="64" customWidth="1"/>
    <col min="2" max="2" width="3.140625" style="64" customWidth="1"/>
    <col min="3" max="3" width="21.57421875" style="64" customWidth="1"/>
    <col min="4" max="5" width="9.140625" style="64" customWidth="1"/>
    <col min="6" max="6" width="9.7109375" style="64" customWidth="1"/>
    <col min="7" max="7" width="10.28125" style="64" customWidth="1"/>
    <col min="8" max="8" width="2.00390625" style="64" customWidth="1"/>
    <col min="9" max="9" width="17.8515625" style="64" customWidth="1"/>
    <col min="10" max="16384" width="9.140625" style="64" customWidth="1"/>
  </cols>
  <sheetData>
    <row r="1" spans="1:10" ht="24">
      <c r="A1" s="513" t="s">
        <v>205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0" ht="24">
      <c r="A2" s="513" t="s">
        <v>53</v>
      </c>
      <c r="B2" s="513"/>
      <c r="C2" s="513"/>
      <c r="D2" s="513"/>
      <c r="E2" s="513"/>
      <c r="F2" s="513"/>
      <c r="G2" s="513"/>
      <c r="H2" s="513"/>
      <c r="I2" s="513"/>
      <c r="J2" s="513"/>
    </row>
    <row r="3" spans="1:10" ht="24">
      <c r="A3" s="513" t="s">
        <v>206</v>
      </c>
      <c r="B3" s="513"/>
      <c r="C3" s="513"/>
      <c r="D3" s="513"/>
      <c r="E3" s="513"/>
      <c r="F3" s="513"/>
      <c r="G3" s="513"/>
      <c r="H3" s="513"/>
      <c r="I3" s="513"/>
      <c r="J3" s="513"/>
    </row>
    <row r="4" spans="1:10" ht="20.25" customHeight="1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ht="24">
      <c r="A5" s="50"/>
      <c r="B5" s="50"/>
      <c r="C5" s="50"/>
      <c r="D5" s="50"/>
      <c r="E5" s="50"/>
      <c r="F5" s="50"/>
      <c r="G5" s="50" t="s">
        <v>34</v>
      </c>
      <c r="H5" s="50"/>
      <c r="I5" s="50"/>
      <c r="J5" s="50"/>
    </row>
    <row r="6" spans="1:10" ht="24.75" thickBot="1">
      <c r="A6" s="51" t="s">
        <v>172</v>
      </c>
      <c r="B6" s="51"/>
      <c r="C6" s="51"/>
      <c r="D6" s="51"/>
      <c r="E6" s="51"/>
      <c r="F6" s="51"/>
      <c r="G6" s="50">
        <v>2</v>
      </c>
      <c r="H6" s="50"/>
      <c r="I6" s="331">
        <v>16110652.4</v>
      </c>
      <c r="J6" s="50" t="s">
        <v>29</v>
      </c>
    </row>
    <row r="7" spans="1:10" ht="24.75" thickTop="1">
      <c r="A7" s="51" t="s">
        <v>173</v>
      </c>
      <c r="B7" s="51"/>
      <c r="C7" s="51"/>
      <c r="D7" s="51"/>
      <c r="E7" s="51"/>
      <c r="F7" s="51"/>
      <c r="G7" s="6"/>
      <c r="H7" s="50"/>
      <c r="I7" s="51"/>
      <c r="J7" s="51"/>
    </row>
    <row r="8" spans="1:10" ht="24">
      <c r="A8" s="51"/>
      <c r="B8" s="52" t="s">
        <v>174</v>
      </c>
      <c r="C8" s="51"/>
      <c r="D8" s="51"/>
      <c r="E8" s="51"/>
      <c r="F8" s="51"/>
      <c r="G8" s="50"/>
      <c r="H8" s="50"/>
      <c r="I8" s="51"/>
      <c r="J8" s="51"/>
    </row>
    <row r="9" spans="1:10" ht="24">
      <c r="A9" s="6"/>
      <c r="B9" s="6"/>
      <c r="C9" s="6" t="s">
        <v>175</v>
      </c>
      <c r="D9" s="6"/>
      <c r="E9" s="6"/>
      <c r="F9" s="6"/>
      <c r="G9" s="50">
        <v>3</v>
      </c>
      <c r="H9" s="6"/>
      <c r="I9" s="332">
        <f>4177053.24+624929.21+8899043.27</f>
        <v>13701025.719999999</v>
      </c>
      <c r="J9" s="50" t="s">
        <v>29</v>
      </c>
    </row>
    <row r="10" spans="1:10" ht="24">
      <c r="A10" s="6"/>
      <c r="B10" s="6"/>
      <c r="C10" s="6" t="s">
        <v>176</v>
      </c>
      <c r="D10" s="6"/>
      <c r="E10" s="6"/>
      <c r="F10" s="6"/>
      <c r="G10" s="50"/>
      <c r="H10" s="6"/>
      <c r="I10" s="53">
        <v>0</v>
      </c>
      <c r="J10" s="6"/>
    </row>
    <row r="11" spans="1:10" ht="24">
      <c r="A11" s="6"/>
      <c r="B11" s="6"/>
      <c r="C11" s="6" t="s">
        <v>177</v>
      </c>
      <c r="D11" s="6"/>
      <c r="E11" s="6"/>
      <c r="F11" s="6"/>
      <c r="G11" s="50">
        <v>4</v>
      </c>
      <c r="H11" s="53"/>
      <c r="I11" s="53">
        <v>923897.37</v>
      </c>
      <c r="J11" s="50" t="s">
        <v>29</v>
      </c>
    </row>
    <row r="12" spans="1:10" ht="24">
      <c r="A12" s="6"/>
      <c r="B12" s="6"/>
      <c r="C12" s="6" t="s">
        <v>178</v>
      </c>
      <c r="D12" s="6"/>
      <c r="E12" s="6"/>
      <c r="F12" s="6"/>
      <c r="G12" s="50"/>
      <c r="H12" s="53"/>
      <c r="I12" s="53">
        <v>0</v>
      </c>
      <c r="J12" s="6"/>
    </row>
    <row r="13" spans="1:10" ht="24">
      <c r="A13" s="6"/>
      <c r="B13" s="6"/>
      <c r="C13" s="6" t="s">
        <v>135</v>
      </c>
      <c r="D13" s="6"/>
      <c r="E13" s="6"/>
      <c r="F13" s="6"/>
      <c r="G13" s="50">
        <v>5</v>
      </c>
      <c r="H13" s="53"/>
      <c r="I13" s="53">
        <f>498000+1495000+158000</f>
        <v>2151000</v>
      </c>
      <c r="J13" s="50" t="s">
        <v>29</v>
      </c>
    </row>
    <row r="14" spans="1:10" ht="24">
      <c r="A14" s="6"/>
      <c r="B14" s="6"/>
      <c r="C14" s="6" t="s">
        <v>179</v>
      </c>
      <c r="D14" s="6"/>
      <c r="E14" s="6"/>
      <c r="F14" s="6"/>
      <c r="G14" s="50">
        <v>6</v>
      </c>
      <c r="H14" s="53"/>
      <c r="I14" s="53">
        <v>10017</v>
      </c>
      <c r="J14" s="50" t="s">
        <v>29</v>
      </c>
    </row>
    <row r="15" spans="1:10" ht="24">
      <c r="A15" s="6"/>
      <c r="B15" s="6"/>
      <c r="C15" s="6" t="s">
        <v>180</v>
      </c>
      <c r="D15" s="6"/>
      <c r="E15" s="6"/>
      <c r="F15" s="6"/>
      <c r="G15" s="50">
        <v>7</v>
      </c>
      <c r="H15" s="54"/>
      <c r="I15" s="53">
        <f>350167+177648.05</f>
        <v>527815.05</v>
      </c>
      <c r="J15" s="50" t="s">
        <v>29</v>
      </c>
    </row>
    <row r="16" spans="1:10" ht="24">
      <c r="A16" s="6"/>
      <c r="B16" s="6"/>
      <c r="C16" s="6" t="s">
        <v>181</v>
      </c>
      <c r="D16" s="6"/>
      <c r="E16" s="6"/>
      <c r="F16" s="6"/>
      <c r="G16" s="50"/>
      <c r="H16" s="53"/>
      <c r="I16" s="53">
        <v>0</v>
      </c>
      <c r="J16" s="6"/>
    </row>
    <row r="17" spans="1:10" ht="24">
      <c r="A17" s="6"/>
      <c r="B17" s="6"/>
      <c r="C17" s="6" t="s">
        <v>182</v>
      </c>
      <c r="D17" s="6"/>
      <c r="E17" s="6"/>
      <c r="F17" s="6"/>
      <c r="G17" s="50"/>
      <c r="H17" s="53"/>
      <c r="I17" s="53">
        <v>0</v>
      </c>
      <c r="J17" s="6"/>
    </row>
    <row r="18" spans="1:10" ht="24.75" thickBot="1">
      <c r="A18" s="6"/>
      <c r="B18" s="6"/>
      <c r="C18" s="7" t="s">
        <v>183</v>
      </c>
      <c r="D18" s="6"/>
      <c r="E18" s="6"/>
      <c r="F18" s="6"/>
      <c r="G18" s="50"/>
      <c r="H18" s="53"/>
      <c r="I18" s="55">
        <f>SUM(I6:I17)</f>
        <v>33424407.54</v>
      </c>
      <c r="J18" s="50" t="s">
        <v>29</v>
      </c>
    </row>
    <row r="19" spans="1:10" ht="12.75" customHeight="1" thickTop="1">
      <c r="A19" s="6"/>
      <c r="B19" s="6"/>
      <c r="C19" s="6"/>
      <c r="D19" s="6"/>
      <c r="E19" s="6"/>
      <c r="F19" s="6"/>
      <c r="G19" s="6"/>
      <c r="H19" s="6"/>
      <c r="I19" s="54"/>
      <c r="J19" s="6"/>
    </row>
    <row r="20" spans="1:10" ht="24">
      <c r="A20" s="6"/>
      <c r="B20" s="56" t="s">
        <v>184</v>
      </c>
      <c r="C20" s="56"/>
      <c r="D20" s="56"/>
      <c r="E20" s="56"/>
      <c r="F20" s="56"/>
      <c r="G20" s="56"/>
      <c r="H20" s="56"/>
      <c r="I20" s="56"/>
      <c r="J20" s="56"/>
    </row>
    <row r="21" spans="1:10" ht="24">
      <c r="A21" s="6"/>
      <c r="B21" s="6"/>
      <c r="C21" s="6" t="s">
        <v>185</v>
      </c>
      <c r="D21" s="6"/>
      <c r="E21" s="6"/>
      <c r="F21" s="6"/>
      <c r="G21" s="6"/>
      <c r="H21" s="6"/>
      <c r="I21" s="57">
        <v>0</v>
      </c>
      <c r="J21" s="50"/>
    </row>
    <row r="22" spans="1:10" ht="24">
      <c r="A22" s="6"/>
      <c r="B22" s="6"/>
      <c r="C22" s="6" t="s">
        <v>186</v>
      </c>
      <c r="D22" s="6"/>
      <c r="E22" s="6"/>
      <c r="F22" s="6"/>
      <c r="G22" s="6"/>
      <c r="H22" s="6"/>
      <c r="I22" s="54">
        <v>0</v>
      </c>
      <c r="J22" s="6"/>
    </row>
    <row r="23" spans="1:10" ht="24">
      <c r="A23" s="6"/>
      <c r="B23" s="6"/>
      <c r="C23" s="7" t="s">
        <v>187</v>
      </c>
      <c r="D23" s="6"/>
      <c r="E23" s="6"/>
      <c r="F23" s="6"/>
      <c r="G23" s="6"/>
      <c r="H23" s="6"/>
      <c r="I23" s="58">
        <v>0</v>
      </c>
      <c r="J23" s="6"/>
    </row>
    <row r="24" spans="1:10" ht="24.75" thickBot="1">
      <c r="A24" s="7" t="s">
        <v>188</v>
      </c>
      <c r="B24" s="6"/>
      <c r="C24" s="6"/>
      <c r="D24" s="6"/>
      <c r="E24" s="6"/>
      <c r="F24" s="6"/>
      <c r="G24" s="6"/>
      <c r="H24" s="6"/>
      <c r="I24" s="55">
        <f>SUM(I18+I23)</f>
        <v>33424407.54</v>
      </c>
      <c r="J24" s="50" t="s">
        <v>29</v>
      </c>
    </row>
    <row r="25" spans="1:10" ht="19.5" customHeight="1" thickTop="1">
      <c r="A25" s="6"/>
      <c r="B25" s="6"/>
      <c r="C25" s="6"/>
      <c r="D25" s="6"/>
      <c r="E25" s="6"/>
      <c r="F25" s="6"/>
      <c r="G25" s="6"/>
      <c r="H25" s="6"/>
      <c r="I25" s="53"/>
      <c r="J25" s="6"/>
    </row>
    <row r="26" spans="1:10" ht="17.25" customHeight="1">
      <c r="A26" s="6"/>
      <c r="B26" s="6"/>
      <c r="C26" s="6"/>
      <c r="D26" s="6"/>
      <c r="E26" s="6"/>
      <c r="F26" s="6"/>
      <c r="G26" s="6"/>
      <c r="H26" s="6"/>
      <c r="I26" s="53"/>
      <c r="J26" s="6"/>
    </row>
    <row r="27" spans="1:10" ht="24">
      <c r="A27" s="59" t="s">
        <v>189</v>
      </c>
      <c r="B27" s="6"/>
      <c r="C27" s="6"/>
      <c r="D27" s="6"/>
      <c r="E27" s="6"/>
      <c r="F27" s="6"/>
      <c r="G27" s="6"/>
      <c r="H27" s="6"/>
      <c r="I27" s="53"/>
      <c r="J27" s="6"/>
    </row>
    <row r="28" spans="1:10" ht="20.25" customHeight="1">
      <c r="A28" s="59"/>
      <c r="B28" s="6"/>
      <c r="C28" s="6"/>
      <c r="D28" s="6"/>
      <c r="E28" s="6"/>
      <c r="F28" s="6"/>
      <c r="G28" s="6"/>
      <c r="H28" s="6"/>
      <c r="I28" s="53"/>
      <c r="J28" s="6"/>
    </row>
    <row r="29" spans="1:10" ht="24">
      <c r="A29" s="524" t="s">
        <v>209</v>
      </c>
      <c r="B29" s="524"/>
      <c r="C29" s="524"/>
      <c r="D29" s="524" t="s">
        <v>209</v>
      </c>
      <c r="E29" s="524"/>
      <c r="F29" s="524"/>
      <c r="G29" s="63" t="s">
        <v>210</v>
      </c>
      <c r="H29" s="63"/>
      <c r="I29" s="63"/>
      <c r="J29" s="6"/>
    </row>
    <row r="30" spans="1:10" ht="24">
      <c r="A30" s="526" t="s">
        <v>207</v>
      </c>
      <c r="B30" s="526"/>
      <c r="C30" s="526"/>
      <c r="D30" s="526" t="s">
        <v>207</v>
      </c>
      <c r="E30" s="526"/>
      <c r="F30" s="526"/>
      <c r="G30" s="527" t="s">
        <v>208</v>
      </c>
      <c r="H30" s="527"/>
      <c r="I30" s="527"/>
      <c r="J30" s="527"/>
    </row>
    <row r="31" spans="1:10" ht="24">
      <c r="A31" s="526" t="s">
        <v>71</v>
      </c>
      <c r="B31" s="526"/>
      <c r="C31" s="526"/>
      <c r="D31" s="526" t="s">
        <v>683</v>
      </c>
      <c r="E31" s="526"/>
      <c r="F31" s="526"/>
      <c r="G31" s="526" t="s">
        <v>72</v>
      </c>
      <c r="H31" s="526"/>
      <c r="I31" s="526"/>
      <c r="J31" s="526"/>
    </row>
    <row r="32" spans="1:10" ht="24">
      <c r="A32" s="526" t="s">
        <v>73</v>
      </c>
      <c r="B32" s="526"/>
      <c r="C32" s="526"/>
      <c r="D32" s="526"/>
      <c r="E32" s="526"/>
      <c r="F32" s="526"/>
      <c r="G32" s="526"/>
      <c r="H32" s="526"/>
      <c r="I32" s="526"/>
      <c r="J32" s="526"/>
    </row>
    <row r="33" spans="1:10" ht="24">
      <c r="A33" s="513" t="s">
        <v>205</v>
      </c>
      <c r="B33" s="513"/>
      <c r="C33" s="513"/>
      <c r="D33" s="513"/>
      <c r="E33" s="513"/>
      <c r="F33" s="513"/>
      <c r="G33" s="513"/>
      <c r="H33" s="513"/>
      <c r="I33" s="513"/>
      <c r="J33" s="513"/>
    </row>
    <row r="34" spans="1:10" ht="24">
      <c r="A34" s="513" t="s">
        <v>53</v>
      </c>
      <c r="B34" s="513"/>
      <c r="C34" s="513"/>
      <c r="D34" s="513"/>
      <c r="E34" s="513"/>
      <c r="F34" s="513"/>
      <c r="G34" s="513"/>
      <c r="H34" s="513"/>
      <c r="I34" s="513"/>
      <c r="J34" s="513"/>
    </row>
    <row r="35" spans="1:10" ht="24">
      <c r="A35" s="513" t="s">
        <v>206</v>
      </c>
      <c r="B35" s="513"/>
      <c r="C35" s="513"/>
      <c r="D35" s="513"/>
      <c r="E35" s="513"/>
      <c r="F35" s="513"/>
      <c r="G35" s="513"/>
      <c r="H35" s="513"/>
      <c r="I35" s="513"/>
      <c r="J35" s="513"/>
    </row>
    <row r="36" spans="1:10" ht="24">
      <c r="A36" s="50"/>
      <c r="B36" s="50"/>
      <c r="C36" s="50"/>
      <c r="D36" s="50"/>
      <c r="E36" s="50"/>
      <c r="F36" s="50"/>
      <c r="G36" s="50"/>
      <c r="H36" s="50"/>
      <c r="I36" s="50"/>
      <c r="J36" s="50"/>
    </row>
    <row r="37" spans="1:10" ht="24">
      <c r="A37" s="50"/>
      <c r="B37" s="50"/>
      <c r="C37" s="50"/>
      <c r="D37" s="50"/>
      <c r="E37" s="50"/>
      <c r="F37" s="50"/>
      <c r="G37" s="50" t="s">
        <v>34</v>
      </c>
      <c r="H37" s="50"/>
      <c r="I37" s="50"/>
      <c r="J37" s="50"/>
    </row>
    <row r="38" spans="1:10" ht="24.75" thickBot="1">
      <c r="A38" s="52" t="s">
        <v>190</v>
      </c>
      <c r="B38" s="51"/>
      <c r="C38" s="51"/>
      <c r="D38" s="51"/>
      <c r="E38" s="51"/>
      <c r="F38" s="51"/>
      <c r="G38" s="50">
        <v>2</v>
      </c>
      <c r="H38" s="50"/>
      <c r="I38" s="331">
        <v>16110652.4</v>
      </c>
      <c r="J38" s="50" t="s">
        <v>29</v>
      </c>
    </row>
    <row r="39" spans="1:10" ht="24.75" thickTop="1">
      <c r="A39" s="7" t="s">
        <v>191</v>
      </c>
      <c r="B39" s="6"/>
      <c r="C39" s="6"/>
      <c r="D39" s="6"/>
      <c r="E39" s="6"/>
      <c r="F39" s="6"/>
      <c r="G39" s="6"/>
      <c r="H39" s="6"/>
      <c r="I39" s="53">
        <v>0</v>
      </c>
      <c r="J39" s="6"/>
    </row>
    <row r="40" spans="1:10" ht="24">
      <c r="A40" s="7"/>
      <c r="B40" s="7" t="s">
        <v>192</v>
      </c>
      <c r="C40" s="6"/>
      <c r="D40" s="6"/>
      <c r="E40" s="6"/>
      <c r="F40" s="6"/>
      <c r="G40" s="6"/>
      <c r="H40" s="6"/>
      <c r="I40" s="53"/>
      <c r="J40" s="6"/>
    </row>
    <row r="41" spans="1:10" ht="24">
      <c r="A41" s="6"/>
      <c r="B41" s="6"/>
      <c r="C41" s="6" t="s">
        <v>193</v>
      </c>
      <c r="D41" s="6"/>
      <c r="E41" s="6"/>
      <c r="F41" s="6"/>
      <c r="G41" s="50">
        <v>8</v>
      </c>
      <c r="H41" s="6"/>
      <c r="I41" s="53">
        <f>256800+65654.1+286500+2151000</f>
        <v>2759954.1</v>
      </c>
      <c r="J41" s="50" t="s">
        <v>29</v>
      </c>
    </row>
    <row r="42" spans="1:10" ht="24">
      <c r="A42" s="6"/>
      <c r="B42" s="6"/>
      <c r="C42" s="6" t="s">
        <v>125</v>
      </c>
      <c r="D42" s="6"/>
      <c r="E42" s="6"/>
      <c r="F42" s="6"/>
      <c r="G42" s="50"/>
      <c r="H42" s="6"/>
      <c r="I42" s="53">
        <v>0</v>
      </c>
      <c r="J42" s="6"/>
    </row>
    <row r="43" spans="1:10" ht="24">
      <c r="A43" s="6"/>
      <c r="B43" s="6"/>
      <c r="C43" s="6" t="s">
        <v>194</v>
      </c>
      <c r="D43" s="6"/>
      <c r="E43" s="6"/>
      <c r="F43" s="6"/>
      <c r="G43" s="50"/>
      <c r="H43" s="6"/>
      <c r="I43" s="53">
        <v>0</v>
      </c>
      <c r="J43" s="6"/>
    </row>
    <row r="44" spans="1:10" ht="24">
      <c r="A44" s="6"/>
      <c r="B44" s="6"/>
      <c r="C44" s="6" t="s">
        <v>195</v>
      </c>
      <c r="D44" s="6"/>
      <c r="E44" s="6"/>
      <c r="F44" s="6"/>
      <c r="G44" s="50">
        <v>9</v>
      </c>
      <c r="H44" s="6"/>
      <c r="I44" s="53">
        <f>353455+9537.72+5150.41+34294.97+624929.21+320476+58422+53750</f>
        <v>1460015.31</v>
      </c>
      <c r="J44" s="50" t="s">
        <v>29</v>
      </c>
    </row>
    <row r="45" spans="1:10" ht="24">
      <c r="A45" s="6"/>
      <c r="B45" s="6"/>
      <c r="C45" s="6" t="s">
        <v>196</v>
      </c>
      <c r="D45" s="6"/>
      <c r="E45" s="6"/>
      <c r="F45" s="6"/>
      <c r="G45" s="50"/>
      <c r="H45" s="6"/>
      <c r="I45" s="60">
        <v>0</v>
      </c>
      <c r="J45" s="6"/>
    </row>
    <row r="46" spans="1:10" ht="24">
      <c r="A46" s="6"/>
      <c r="B46" s="6"/>
      <c r="C46" s="7" t="s">
        <v>197</v>
      </c>
      <c r="D46" s="6"/>
      <c r="E46" s="6"/>
      <c r="F46" s="6"/>
      <c r="G46" s="50"/>
      <c r="H46" s="6"/>
      <c r="I46" s="61">
        <f>SUM(I41:I45)</f>
        <v>4219969.41</v>
      </c>
      <c r="J46" s="50" t="s">
        <v>29</v>
      </c>
    </row>
    <row r="47" spans="1:10" ht="24">
      <c r="A47" s="6"/>
      <c r="B47" s="7" t="s">
        <v>198</v>
      </c>
      <c r="C47" s="6"/>
      <c r="D47" s="6"/>
      <c r="E47" s="6"/>
      <c r="F47" s="6"/>
      <c r="G47" s="50"/>
      <c r="H47" s="6"/>
      <c r="I47" s="53"/>
      <c r="J47" s="6"/>
    </row>
    <row r="48" spans="1:10" ht="24">
      <c r="A48" s="6"/>
      <c r="B48" s="7"/>
      <c r="C48" s="6" t="s">
        <v>199</v>
      </c>
      <c r="D48" s="6"/>
      <c r="E48" s="6"/>
      <c r="F48" s="6"/>
      <c r="G48" s="50"/>
      <c r="H48" s="6"/>
      <c r="I48" s="53">
        <v>0</v>
      </c>
      <c r="J48" s="6"/>
    </row>
    <row r="49" spans="1:10" ht="24">
      <c r="A49" s="6"/>
      <c r="B49" s="7"/>
      <c r="C49" s="6" t="s">
        <v>200</v>
      </c>
      <c r="D49" s="6"/>
      <c r="E49" s="6"/>
      <c r="F49" s="6"/>
      <c r="G49" s="50"/>
      <c r="H49" s="6"/>
      <c r="I49" s="53">
        <v>0</v>
      </c>
      <c r="J49" s="6"/>
    </row>
    <row r="50" spans="1:10" ht="24">
      <c r="A50" s="6"/>
      <c r="B50" s="7" t="s">
        <v>201</v>
      </c>
      <c r="C50" s="6"/>
      <c r="D50" s="6"/>
      <c r="E50" s="6"/>
      <c r="F50" s="6"/>
      <c r="G50" s="50"/>
      <c r="H50" s="6"/>
      <c r="I50" s="61">
        <f>SUM(I48:I49)</f>
        <v>0</v>
      </c>
      <c r="J50" s="6"/>
    </row>
    <row r="51" spans="1:10" ht="24">
      <c r="A51" s="6"/>
      <c r="B51" s="7" t="s">
        <v>202</v>
      </c>
      <c r="C51" s="6"/>
      <c r="D51" s="6"/>
      <c r="E51" s="6"/>
      <c r="F51" s="6"/>
      <c r="G51" s="50"/>
      <c r="H51" s="6"/>
      <c r="I51" s="61">
        <f>SUM(I46+I50)</f>
        <v>4219969.41</v>
      </c>
      <c r="J51" s="50" t="s">
        <v>29</v>
      </c>
    </row>
    <row r="52" spans="1:10" ht="24">
      <c r="A52" s="7" t="s">
        <v>11</v>
      </c>
      <c r="B52" s="7"/>
      <c r="C52" s="6"/>
      <c r="D52" s="6"/>
      <c r="E52" s="6"/>
      <c r="F52" s="6"/>
      <c r="G52" s="6"/>
      <c r="H52" s="6"/>
      <c r="I52" s="62"/>
      <c r="J52" s="50"/>
    </row>
    <row r="53" spans="1:11" ht="24">
      <c r="A53" s="6"/>
      <c r="B53" s="6" t="s">
        <v>11</v>
      </c>
      <c r="C53" s="6"/>
      <c r="D53" s="6"/>
      <c r="E53" s="6"/>
      <c r="F53" s="6"/>
      <c r="G53" s="50">
        <v>10</v>
      </c>
      <c r="H53" s="6"/>
      <c r="I53" s="62">
        <v>6247257.43</v>
      </c>
      <c r="J53" s="50" t="s">
        <v>29</v>
      </c>
      <c r="K53" s="64" t="s">
        <v>211</v>
      </c>
    </row>
    <row r="54" spans="1:11" ht="24">
      <c r="A54" s="6"/>
      <c r="B54" s="6" t="s">
        <v>12</v>
      </c>
      <c r="C54" s="6"/>
      <c r="D54" s="6"/>
      <c r="E54" s="6"/>
      <c r="F54" s="6"/>
      <c r="G54" s="50">
        <v>11</v>
      </c>
      <c r="H54" s="6"/>
      <c r="I54" s="61">
        <v>6846528.3</v>
      </c>
      <c r="J54" s="50" t="s">
        <v>29</v>
      </c>
      <c r="K54" s="64" t="s">
        <v>211</v>
      </c>
    </row>
    <row r="55" spans="1:10" ht="24">
      <c r="A55" s="6"/>
      <c r="B55" s="7" t="s">
        <v>203</v>
      </c>
      <c r="C55" s="6"/>
      <c r="D55" s="6"/>
      <c r="E55" s="6"/>
      <c r="F55" s="6"/>
      <c r="G55" s="50"/>
      <c r="H55" s="6"/>
      <c r="I55" s="62">
        <f>SUM(I53:I54)</f>
        <v>13093785.73</v>
      </c>
      <c r="J55" s="50" t="s">
        <v>29</v>
      </c>
    </row>
    <row r="56" spans="1:10" ht="24.75" thickBot="1">
      <c r="A56" s="7" t="s">
        <v>204</v>
      </c>
      <c r="B56" s="7"/>
      <c r="C56" s="6"/>
      <c r="D56" s="6"/>
      <c r="E56" s="6"/>
      <c r="F56" s="6"/>
      <c r="G56" s="50"/>
      <c r="H56" s="6"/>
      <c r="I56" s="55">
        <f>SUM(I38+I51+I55)</f>
        <v>33424407.540000003</v>
      </c>
      <c r="J56" s="50" t="s">
        <v>29</v>
      </c>
    </row>
    <row r="57" spans="1:10" ht="18.75" customHeight="1" thickTop="1">
      <c r="A57" s="7"/>
      <c r="B57" s="7"/>
      <c r="C57" s="6"/>
      <c r="D57" s="6"/>
      <c r="E57" s="6"/>
      <c r="F57" s="6"/>
      <c r="G57" s="6"/>
      <c r="H57" s="6"/>
      <c r="I57" s="62"/>
      <c r="J57" s="50"/>
    </row>
    <row r="58" spans="1:10" ht="24">
      <c r="A58" s="7" t="s">
        <v>189</v>
      </c>
      <c r="B58" s="6"/>
      <c r="C58" s="6"/>
      <c r="D58" s="6"/>
      <c r="E58" s="6"/>
      <c r="F58" s="6"/>
      <c r="G58" s="6"/>
      <c r="H58" s="6"/>
      <c r="I58" s="53"/>
      <c r="J58" s="50"/>
    </row>
    <row r="59" spans="1:10" ht="20.25" customHeight="1">
      <c r="A59" s="7"/>
      <c r="B59" s="6"/>
      <c r="C59" s="6"/>
      <c r="D59" s="6"/>
      <c r="E59" s="6"/>
      <c r="F59" s="6"/>
      <c r="G59" s="6"/>
      <c r="H59" s="6"/>
      <c r="I59" s="53"/>
      <c r="J59" s="50"/>
    </row>
    <row r="60" spans="1:10" ht="16.5" customHeight="1">
      <c r="A60" s="7"/>
      <c r="B60" s="6"/>
      <c r="C60" s="6"/>
      <c r="D60" s="6"/>
      <c r="E60" s="6"/>
      <c r="F60" s="6"/>
      <c r="G60" s="6"/>
      <c r="H60" s="6"/>
      <c r="I60" s="53"/>
      <c r="J60" s="50"/>
    </row>
    <row r="61" spans="1:10" ht="24">
      <c r="A61" s="524" t="s">
        <v>209</v>
      </c>
      <c r="B61" s="524"/>
      <c r="C61" s="524"/>
      <c r="D61" s="524" t="s">
        <v>209</v>
      </c>
      <c r="E61" s="524"/>
      <c r="F61" s="524"/>
      <c r="G61" s="63" t="s">
        <v>210</v>
      </c>
      <c r="H61" s="63"/>
      <c r="I61" s="63"/>
      <c r="J61" s="6"/>
    </row>
    <row r="62" spans="1:10" ht="24">
      <c r="A62" s="526" t="s">
        <v>207</v>
      </c>
      <c r="B62" s="526"/>
      <c r="C62" s="526"/>
      <c r="D62" s="526" t="s">
        <v>207</v>
      </c>
      <c r="E62" s="526"/>
      <c r="F62" s="526"/>
      <c r="G62" s="527" t="s">
        <v>208</v>
      </c>
      <c r="H62" s="527"/>
      <c r="I62" s="527"/>
      <c r="J62" s="527"/>
    </row>
    <row r="63" spans="1:10" ht="24">
      <c r="A63" s="526" t="s">
        <v>71</v>
      </c>
      <c r="B63" s="526"/>
      <c r="C63" s="526"/>
      <c r="D63" s="526" t="s">
        <v>683</v>
      </c>
      <c r="E63" s="526"/>
      <c r="F63" s="526"/>
      <c r="G63" s="526" t="s">
        <v>72</v>
      </c>
      <c r="H63" s="526"/>
      <c r="I63" s="526"/>
      <c r="J63" s="526"/>
    </row>
    <row r="64" spans="1:10" ht="24">
      <c r="A64" s="526" t="s">
        <v>73</v>
      </c>
      <c r="B64" s="526"/>
      <c r="C64" s="526"/>
      <c r="D64" s="526"/>
      <c r="E64" s="526"/>
      <c r="F64" s="526"/>
      <c r="G64" s="526"/>
      <c r="H64" s="526"/>
      <c r="I64" s="526"/>
      <c r="J64" s="526"/>
    </row>
  </sheetData>
  <sheetProtection/>
  <mergeCells count="28">
    <mergeCell ref="G64:J64"/>
    <mergeCell ref="D32:F32"/>
    <mergeCell ref="A29:C29"/>
    <mergeCell ref="D29:F29"/>
    <mergeCell ref="A61:C61"/>
    <mergeCell ref="D61:F61"/>
    <mergeCell ref="D64:F64"/>
    <mergeCell ref="A35:J35"/>
    <mergeCell ref="A62:C62"/>
    <mergeCell ref="D62:F62"/>
    <mergeCell ref="G63:J63"/>
    <mergeCell ref="A31:C31"/>
    <mergeCell ref="D31:F31"/>
    <mergeCell ref="G31:J31"/>
    <mergeCell ref="G32:J32"/>
    <mergeCell ref="A33:J33"/>
    <mergeCell ref="A34:J34"/>
    <mergeCell ref="A32:C32"/>
    <mergeCell ref="A64:C64"/>
    <mergeCell ref="A1:J1"/>
    <mergeCell ref="A2:J2"/>
    <mergeCell ref="A3:J3"/>
    <mergeCell ref="A30:C30"/>
    <mergeCell ref="D30:F30"/>
    <mergeCell ref="G30:J30"/>
    <mergeCell ref="G62:J62"/>
    <mergeCell ref="A63:C63"/>
    <mergeCell ref="D63:F63"/>
  </mergeCells>
  <printOptions/>
  <pageMargins left="0.56" right="0.24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9">
      <selection activeCell="B32" sqref="B32"/>
    </sheetView>
  </sheetViews>
  <sheetFormatPr defaultColWidth="9.140625" defaultRowHeight="22.5" customHeight="1"/>
  <cols>
    <col min="1" max="1" width="27.421875" style="9" customWidth="1"/>
    <col min="2" max="2" width="21.8515625" style="9" customWidth="1"/>
    <col min="3" max="3" width="19.00390625" style="9" customWidth="1"/>
    <col min="4" max="4" width="17.8515625" style="9" customWidth="1"/>
    <col min="5" max="5" width="9.140625" style="9" customWidth="1"/>
    <col min="6" max="6" width="16.7109375" style="10" customWidth="1"/>
    <col min="7" max="7" width="26.8515625" style="11" customWidth="1"/>
    <col min="8" max="16384" width="9.140625" style="9" customWidth="1"/>
  </cols>
  <sheetData>
    <row r="1" spans="1:4" ht="25.5" customHeight="1">
      <c r="A1" s="513" t="s">
        <v>54</v>
      </c>
      <c r="B1" s="513"/>
      <c r="C1" s="513"/>
      <c r="D1" s="513"/>
    </row>
    <row r="2" spans="1:4" ht="25.5" customHeight="1">
      <c r="A2" s="513" t="s">
        <v>137</v>
      </c>
      <c r="B2" s="513"/>
      <c r="C2" s="513"/>
      <c r="D2" s="513"/>
    </row>
    <row r="3" spans="1:4" ht="25.5" customHeight="1">
      <c r="A3" s="530" t="s">
        <v>321</v>
      </c>
      <c r="B3" s="530"/>
      <c r="C3" s="530"/>
      <c r="D3" s="530"/>
    </row>
    <row r="4" spans="1:4" ht="22.5" customHeight="1">
      <c r="A4" s="44"/>
      <c r="B4" s="44"/>
      <c r="C4" s="44"/>
      <c r="D4" s="44"/>
    </row>
    <row r="5" spans="1:7" s="26" customFormat="1" ht="22.5" customHeight="1">
      <c r="A5" s="205" t="s">
        <v>322</v>
      </c>
      <c r="B5" s="44"/>
      <c r="C5" s="44"/>
      <c r="D5" s="44"/>
      <c r="F5" s="27"/>
      <c r="G5" s="28"/>
    </row>
    <row r="6" spans="1:4" ht="22.5" customHeight="1">
      <c r="A6" s="515" t="s">
        <v>23</v>
      </c>
      <c r="B6" s="515" t="s">
        <v>323</v>
      </c>
      <c r="C6" s="531" t="s">
        <v>704</v>
      </c>
      <c r="D6" s="532"/>
    </row>
    <row r="7" spans="1:4" ht="22.5" customHeight="1">
      <c r="A7" s="516"/>
      <c r="B7" s="516"/>
      <c r="C7" s="206" t="s">
        <v>56</v>
      </c>
      <c r="D7" s="206" t="s">
        <v>15</v>
      </c>
    </row>
    <row r="8" spans="1:4" ht="22.5" customHeight="1">
      <c r="A8" s="191" t="s">
        <v>57</v>
      </c>
      <c r="B8" s="492"/>
      <c r="C8" s="207"/>
      <c r="D8" s="207"/>
    </row>
    <row r="9" spans="1:4" ht="22.5" customHeight="1">
      <c r="A9" s="208" t="s">
        <v>58</v>
      </c>
      <c r="B9" s="493">
        <v>120000</v>
      </c>
      <c r="C9" s="209" t="s">
        <v>59</v>
      </c>
      <c r="D9" s="493">
        <f>5998766+853330-80530-95000-26990-37500-850-1220-1220+101200+99000+52200+39950+4590+3990+15980+33000+26000-80000-11470+21000+14970-124553+38380+199000</f>
        <v>7042023</v>
      </c>
    </row>
    <row r="10" spans="1:4" ht="22.5" customHeight="1">
      <c r="A10" s="208" t="s">
        <v>60</v>
      </c>
      <c r="B10" s="493">
        <v>5047150</v>
      </c>
      <c r="C10" s="209" t="s">
        <v>77</v>
      </c>
      <c r="D10" s="493">
        <v>865330</v>
      </c>
    </row>
    <row r="11" spans="1:4" ht="22.5" customHeight="1">
      <c r="A11" s="208" t="s">
        <v>61</v>
      </c>
      <c r="B11" s="493">
        <v>0</v>
      </c>
      <c r="C11" s="209" t="s">
        <v>76</v>
      </c>
      <c r="D11" s="493">
        <f>8173499.4</f>
        <v>8173499.4</v>
      </c>
    </row>
    <row r="12" spans="1:4" ht="22.5" customHeight="1">
      <c r="A12" s="210" t="s">
        <v>62</v>
      </c>
      <c r="B12" s="493"/>
      <c r="C12" s="209" t="s">
        <v>703</v>
      </c>
      <c r="D12" s="493">
        <f>76800-47000</f>
        <v>29800</v>
      </c>
    </row>
    <row r="13" spans="1:4" ht="22.5" customHeight="1">
      <c r="A13" s="208" t="s">
        <v>67</v>
      </c>
      <c r="B13" s="493">
        <v>241000</v>
      </c>
      <c r="C13" s="209"/>
      <c r="D13" s="493"/>
    </row>
    <row r="14" spans="1:4" ht="22.5" customHeight="1">
      <c r="A14" s="208" t="s">
        <v>64</v>
      </c>
      <c r="B14" s="493">
        <v>6831625</v>
      </c>
      <c r="C14" s="209"/>
      <c r="D14" s="493"/>
    </row>
    <row r="15" spans="1:4" ht="22.5" customHeight="1">
      <c r="A15" s="208" t="s">
        <v>336</v>
      </c>
      <c r="B15" s="493">
        <f>3087670+38380-44963</f>
        <v>3081087</v>
      </c>
      <c r="C15" s="211"/>
      <c r="D15" s="493"/>
    </row>
    <row r="16" spans="1:4" ht="22.5" customHeight="1">
      <c r="A16" s="208" t="s">
        <v>65</v>
      </c>
      <c r="B16" s="493">
        <v>33100</v>
      </c>
      <c r="C16" s="211"/>
      <c r="D16" s="493"/>
    </row>
    <row r="17" spans="1:4" ht="22.5" customHeight="1">
      <c r="A17" s="208" t="s">
        <v>78</v>
      </c>
      <c r="B17" s="493">
        <f>106500-95000</f>
        <v>11500</v>
      </c>
      <c r="C17" s="211"/>
      <c r="D17" s="493"/>
    </row>
    <row r="18" spans="1:4" ht="22.5" customHeight="1">
      <c r="A18" s="208" t="s">
        <v>63</v>
      </c>
      <c r="B18" s="493">
        <f>94000-47000</f>
        <v>47000</v>
      </c>
      <c r="C18" s="211"/>
      <c r="D18" s="493"/>
    </row>
    <row r="19" spans="1:4" ht="22.5" customHeight="1">
      <c r="A19" s="208" t="s">
        <v>66</v>
      </c>
      <c r="B19" s="493">
        <v>33500</v>
      </c>
      <c r="C19" s="211"/>
      <c r="D19" s="493"/>
    </row>
    <row r="20" spans="1:4" ht="22.5" customHeight="1">
      <c r="A20" s="208" t="s">
        <v>337</v>
      </c>
      <c r="B20" s="493">
        <v>312190.4</v>
      </c>
      <c r="C20" s="211"/>
      <c r="D20" s="493"/>
    </row>
    <row r="21" spans="1:4" ht="22.5" customHeight="1">
      <c r="A21" s="208" t="s">
        <v>338</v>
      </c>
      <c r="B21" s="493">
        <v>186500</v>
      </c>
      <c r="C21" s="211"/>
      <c r="D21" s="493"/>
    </row>
    <row r="22" spans="1:6" ht="22.5" customHeight="1">
      <c r="A22" s="208" t="s">
        <v>79</v>
      </c>
      <c r="B22" s="493">
        <v>147200</v>
      </c>
      <c r="C22" s="211"/>
      <c r="D22" s="493"/>
      <c r="F22" s="193"/>
    </row>
    <row r="23" spans="1:6" ht="22.5" customHeight="1">
      <c r="A23" s="208" t="s">
        <v>80</v>
      </c>
      <c r="B23" s="493">
        <f>70790-51990</f>
        <v>18800</v>
      </c>
      <c r="C23" s="211"/>
      <c r="D23" s="493"/>
      <c r="F23" s="193"/>
    </row>
    <row r="24" spans="1:4" ht="22.5" customHeight="1">
      <c r="A24" s="208" t="s">
        <v>81</v>
      </c>
      <c r="B24" s="493">
        <v>0</v>
      </c>
      <c r="C24" s="211"/>
      <c r="D24" s="493"/>
    </row>
    <row r="25" spans="1:6" ht="22.5" customHeight="1">
      <c r="A25" s="212"/>
      <c r="B25" s="494">
        <f>SUM(B9:B24)</f>
        <v>16110652.4</v>
      </c>
      <c r="C25" s="213"/>
      <c r="D25" s="494">
        <f>SUM(D9:D24)</f>
        <v>16110652.4</v>
      </c>
      <c r="F25" s="193"/>
    </row>
    <row r="26" spans="1:7" s="26" customFormat="1" ht="22.5" customHeight="1">
      <c r="A26" s="23"/>
      <c r="B26" s="24"/>
      <c r="C26" s="25"/>
      <c r="D26" s="24"/>
      <c r="F26" s="194"/>
      <c r="G26" s="28"/>
    </row>
    <row r="27" spans="1:7" s="26" customFormat="1" ht="22.5" customHeight="1">
      <c r="A27" s="23"/>
      <c r="B27" s="24"/>
      <c r="C27" s="25"/>
      <c r="D27" s="24"/>
      <c r="F27" s="27"/>
      <c r="G27" s="28"/>
    </row>
    <row r="28" spans="1:7" s="26" customFormat="1" ht="22.5" customHeight="1">
      <c r="A28" s="214" t="s">
        <v>333</v>
      </c>
      <c r="B28" s="215" t="s">
        <v>334</v>
      </c>
      <c r="C28" s="528" t="s">
        <v>328</v>
      </c>
      <c r="D28" s="528"/>
      <c r="F28" s="27"/>
      <c r="G28" s="28"/>
    </row>
    <row r="29" spans="1:7" s="26" customFormat="1" ht="22.5" customHeight="1">
      <c r="A29" s="33" t="s">
        <v>74</v>
      </c>
      <c r="B29" s="31" t="s">
        <v>74</v>
      </c>
      <c r="C29" s="529" t="s">
        <v>208</v>
      </c>
      <c r="D29" s="529"/>
      <c r="F29" s="27"/>
      <c r="G29" s="28"/>
    </row>
    <row r="30" spans="1:7" s="26" customFormat="1" ht="22.5" customHeight="1">
      <c r="A30" s="33" t="s">
        <v>71</v>
      </c>
      <c r="B30" s="33" t="s">
        <v>335</v>
      </c>
      <c r="C30" s="529" t="s">
        <v>72</v>
      </c>
      <c r="D30" s="529"/>
      <c r="F30" s="27"/>
      <c r="G30" s="28"/>
    </row>
    <row r="31" spans="1:7" s="26" customFormat="1" ht="22.5" customHeight="1">
      <c r="A31" s="33" t="s">
        <v>73</v>
      </c>
      <c r="B31" s="33"/>
      <c r="F31" s="27"/>
      <c r="G31" s="28"/>
    </row>
    <row r="32" spans="2:7" s="26" customFormat="1" ht="22.5" customHeight="1">
      <c r="B32" s="33"/>
      <c r="F32" s="27"/>
      <c r="G32" s="28"/>
    </row>
    <row r="33" spans="2:7" s="26" customFormat="1" ht="22.5" customHeight="1">
      <c r="B33" s="33"/>
      <c r="F33" s="27"/>
      <c r="G33" s="28"/>
    </row>
    <row r="34" spans="3:7" s="26" customFormat="1" ht="22.5" customHeight="1">
      <c r="C34" s="33"/>
      <c r="F34" s="27"/>
      <c r="G34" s="28"/>
    </row>
    <row r="35" spans="6:7" s="26" customFormat="1" ht="22.5" customHeight="1">
      <c r="F35" s="27"/>
      <c r="G35" s="28"/>
    </row>
  </sheetData>
  <sheetProtection/>
  <mergeCells count="9">
    <mergeCell ref="C28:D28"/>
    <mergeCell ref="C29:D29"/>
    <mergeCell ref="C30:D30"/>
    <mergeCell ref="A1:D1"/>
    <mergeCell ref="A2:D2"/>
    <mergeCell ref="A3:D3"/>
    <mergeCell ref="A6:A7"/>
    <mergeCell ref="C6:D6"/>
    <mergeCell ref="B6:B7"/>
  </mergeCells>
  <printOptions/>
  <pageMargins left="0.7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B16">
      <selection activeCell="I21" sqref="I21:J27"/>
    </sheetView>
  </sheetViews>
  <sheetFormatPr defaultColWidth="9.140625" defaultRowHeight="22.5" customHeight="1"/>
  <cols>
    <col min="1" max="1" width="23.7109375" style="9" customWidth="1"/>
    <col min="2" max="2" width="13.421875" style="491" customWidth="1"/>
    <col min="3" max="3" width="13.140625" style="491" customWidth="1"/>
    <col min="4" max="4" width="11.421875" style="491" customWidth="1"/>
    <col min="5" max="5" width="13.8515625" style="491" customWidth="1"/>
    <col min="6" max="6" width="14.00390625" style="9" customWidth="1"/>
    <col min="7" max="7" width="13.421875" style="9" customWidth="1"/>
    <col min="8" max="8" width="9.140625" style="9" customWidth="1"/>
    <col min="9" max="9" width="16.7109375" style="10" customWidth="1"/>
    <col min="10" max="10" width="26.8515625" style="11" customWidth="1"/>
    <col min="11" max="16384" width="9.140625" style="9" customWidth="1"/>
  </cols>
  <sheetData>
    <row r="1" spans="1:7" ht="25.5" customHeight="1">
      <c r="A1" s="513" t="s">
        <v>731</v>
      </c>
      <c r="B1" s="513"/>
      <c r="C1" s="513"/>
      <c r="D1" s="513"/>
      <c r="E1" s="513"/>
      <c r="F1" s="513"/>
      <c r="G1" s="513"/>
    </row>
    <row r="2" spans="1:7" ht="25.5" customHeight="1">
      <c r="A2" s="513" t="s">
        <v>332</v>
      </c>
      <c r="B2" s="513"/>
      <c r="C2" s="513"/>
      <c r="D2" s="513"/>
      <c r="E2" s="513"/>
      <c r="F2" s="513"/>
      <c r="G2" s="513"/>
    </row>
    <row r="3" spans="1:7" ht="25.5" customHeight="1">
      <c r="A3" s="530" t="s">
        <v>241</v>
      </c>
      <c r="B3" s="530"/>
      <c r="C3" s="530"/>
      <c r="D3" s="530"/>
      <c r="E3" s="530"/>
      <c r="F3" s="530"/>
      <c r="G3" s="530"/>
    </row>
    <row r="4" spans="1:10" s="26" customFormat="1" ht="22.5" customHeight="1">
      <c r="A4" s="44"/>
      <c r="B4" s="482"/>
      <c r="C4" s="482"/>
      <c r="D4" s="482"/>
      <c r="E4" s="482"/>
      <c r="F4" s="44"/>
      <c r="G4" s="44"/>
      <c r="I4" s="27"/>
      <c r="J4" s="28"/>
    </row>
    <row r="5" spans="1:7" ht="22.5" customHeight="1">
      <c r="A5" s="533" t="s">
        <v>23</v>
      </c>
      <c r="B5" s="15" t="s">
        <v>41</v>
      </c>
      <c r="C5" s="201" t="s">
        <v>324</v>
      </c>
      <c r="D5" s="201" t="s">
        <v>325</v>
      </c>
      <c r="E5" s="201" t="s">
        <v>50</v>
      </c>
      <c r="F5" s="535" t="s">
        <v>327</v>
      </c>
      <c r="G5" s="536"/>
    </row>
    <row r="6" spans="1:7" ht="22.5" customHeight="1">
      <c r="A6" s="534"/>
      <c r="B6" s="203" t="s">
        <v>326</v>
      </c>
      <c r="C6" s="202">
        <v>2560</v>
      </c>
      <c r="D6" s="202">
        <v>2560</v>
      </c>
      <c r="E6" s="202" t="s">
        <v>55</v>
      </c>
      <c r="F6" s="204" t="s">
        <v>56</v>
      </c>
      <c r="G6" s="204" t="s">
        <v>15</v>
      </c>
    </row>
    <row r="7" spans="1:7" ht="22.5" customHeight="1">
      <c r="A7" s="15" t="s">
        <v>57</v>
      </c>
      <c r="B7" s="486"/>
      <c r="C7" s="486"/>
      <c r="D7" s="486"/>
      <c r="E7" s="486"/>
      <c r="F7" s="12"/>
      <c r="G7" s="12"/>
    </row>
    <row r="8" spans="1:7" ht="22.5" customHeight="1">
      <c r="A8" s="16" t="s">
        <v>58</v>
      </c>
      <c r="B8" s="485">
        <v>120000</v>
      </c>
      <c r="C8" s="485"/>
      <c r="D8" s="485"/>
      <c r="E8" s="485">
        <f>SUM(B8+C8-D8)</f>
        <v>120000</v>
      </c>
      <c r="F8" s="200" t="s">
        <v>59</v>
      </c>
      <c r="G8" s="485">
        <f>5998766+853330-80530-95000-26990-37500-850-1220-1220+101200+99000+52200+39950+4590+3990+15980+33000+26000-80000-11470+21000+14970-124553+38380+199000</f>
        <v>7042023</v>
      </c>
    </row>
    <row r="9" spans="1:7" ht="22.5" customHeight="1">
      <c r="A9" s="16" t="s">
        <v>60</v>
      </c>
      <c r="B9" s="485">
        <v>5047150</v>
      </c>
      <c r="C9" s="485"/>
      <c r="D9" s="485"/>
      <c r="E9" s="485">
        <f aca="true" t="shared" si="0" ref="E9:E22">SUM(B9+C9-D9)</f>
        <v>5047150</v>
      </c>
      <c r="F9" s="200" t="s">
        <v>77</v>
      </c>
      <c r="G9" s="485">
        <v>865330</v>
      </c>
    </row>
    <row r="10" spans="1:7" ht="22.5" customHeight="1">
      <c r="A10" s="16" t="s">
        <v>61</v>
      </c>
      <c r="B10" s="485" t="s">
        <v>6</v>
      </c>
      <c r="C10" s="485"/>
      <c r="D10" s="485"/>
      <c r="E10" s="485" t="s">
        <v>6</v>
      </c>
      <c r="F10" s="200" t="s">
        <v>76</v>
      </c>
      <c r="G10" s="485">
        <f>8173499.4</f>
        <v>8173499.4</v>
      </c>
    </row>
    <row r="11" spans="1:7" ht="22.5" customHeight="1">
      <c r="A11" s="19" t="s">
        <v>62</v>
      </c>
      <c r="B11" s="485"/>
      <c r="C11" s="485"/>
      <c r="D11" s="485"/>
      <c r="E11" s="485"/>
      <c r="F11" s="200" t="s">
        <v>703</v>
      </c>
      <c r="G11" s="485">
        <f>76800-47000</f>
        <v>29800</v>
      </c>
    </row>
    <row r="12" spans="1:7" ht="22.5" customHeight="1">
      <c r="A12" s="16" t="s">
        <v>67</v>
      </c>
      <c r="B12" s="485">
        <v>42000</v>
      </c>
      <c r="C12" s="485">
        <v>199000</v>
      </c>
      <c r="D12" s="485">
        <v>0</v>
      </c>
      <c r="E12" s="485">
        <f t="shared" si="0"/>
        <v>241000</v>
      </c>
      <c r="F12" s="18"/>
      <c r="G12" s="17"/>
    </row>
    <row r="13" spans="1:7" ht="22.5" customHeight="1">
      <c r="A13" s="16" t="s">
        <v>64</v>
      </c>
      <c r="B13" s="485">
        <v>6859225</v>
      </c>
      <c r="C13" s="485">
        <v>0</v>
      </c>
      <c r="D13" s="485">
        <f>13800+13800</f>
        <v>27600</v>
      </c>
      <c r="E13" s="485">
        <f t="shared" si="0"/>
        <v>6831625</v>
      </c>
      <c r="F13" s="18"/>
      <c r="G13" s="17"/>
    </row>
    <row r="14" spans="1:7" ht="22.5" customHeight="1">
      <c r="A14" s="16" t="s">
        <v>336</v>
      </c>
      <c r="B14" s="485">
        <v>3087670</v>
      </c>
      <c r="C14" s="485">
        <f>16500+16500+5380</f>
        <v>38380</v>
      </c>
      <c r="D14" s="485">
        <f>1100+2000+1800+1800+1800+1800+1800+5000+5000+5000+1483+1900+1900+12000+580</f>
        <v>44963</v>
      </c>
      <c r="E14" s="485">
        <f t="shared" si="0"/>
        <v>3081087</v>
      </c>
      <c r="F14" s="20"/>
      <c r="G14" s="17"/>
    </row>
    <row r="15" spans="1:7" ht="22.5" customHeight="1">
      <c r="A15" s="16" t="s">
        <v>65</v>
      </c>
      <c r="B15" s="485">
        <v>33100</v>
      </c>
      <c r="C15" s="485"/>
      <c r="D15" s="485"/>
      <c r="E15" s="485">
        <f t="shared" si="0"/>
        <v>33100</v>
      </c>
      <c r="F15" s="20"/>
      <c r="G15" s="17"/>
    </row>
    <row r="16" spans="1:7" ht="22.5" customHeight="1">
      <c r="A16" s="16" t="s">
        <v>78</v>
      </c>
      <c r="B16" s="485">
        <f>106500-95000</f>
        <v>11500</v>
      </c>
      <c r="C16" s="485"/>
      <c r="D16" s="485"/>
      <c r="E16" s="485">
        <f t="shared" si="0"/>
        <v>11500</v>
      </c>
      <c r="F16" s="20"/>
      <c r="G16" s="17"/>
    </row>
    <row r="17" spans="1:7" ht="22.5" customHeight="1">
      <c r="A17" s="16" t="s">
        <v>63</v>
      </c>
      <c r="B17" s="485">
        <v>94000</v>
      </c>
      <c r="C17" s="485">
        <v>0</v>
      </c>
      <c r="D17" s="485">
        <v>47000</v>
      </c>
      <c r="E17" s="485">
        <f t="shared" si="0"/>
        <v>47000</v>
      </c>
      <c r="F17" s="20"/>
      <c r="G17" s="17"/>
    </row>
    <row r="18" spans="1:7" ht="22.5" customHeight="1">
      <c r="A18" s="16" t="s">
        <v>66</v>
      </c>
      <c r="B18" s="485">
        <v>33500</v>
      </c>
      <c r="C18" s="485"/>
      <c r="D18" s="485"/>
      <c r="E18" s="485">
        <f t="shared" si="0"/>
        <v>33500</v>
      </c>
      <c r="F18" s="20"/>
      <c r="G18" s="17"/>
    </row>
    <row r="19" spans="1:7" ht="22.5" customHeight="1">
      <c r="A19" s="16" t="s">
        <v>337</v>
      </c>
      <c r="B19" s="485">
        <v>312190.4</v>
      </c>
      <c r="C19" s="485"/>
      <c r="D19" s="485"/>
      <c r="E19" s="485">
        <f t="shared" si="0"/>
        <v>312190.4</v>
      </c>
      <c r="F19" s="20"/>
      <c r="G19" s="17"/>
    </row>
    <row r="20" spans="1:7" ht="22.5" customHeight="1">
      <c r="A20" s="16" t="s">
        <v>338</v>
      </c>
      <c r="B20" s="485">
        <v>186500</v>
      </c>
      <c r="C20" s="485"/>
      <c r="D20" s="485"/>
      <c r="E20" s="485">
        <f t="shared" si="0"/>
        <v>186500</v>
      </c>
      <c r="F20" s="20"/>
      <c r="G20" s="17"/>
    </row>
    <row r="21" spans="1:9" ht="22.5" customHeight="1">
      <c r="A21" s="16" t="s">
        <v>79</v>
      </c>
      <c r="B21" s="485">
        <v>147200</v>
      </c>
      <c r="C21" s="485"/>
      <c r="D21" s="485"/>
      <c r="E21" s="485">
        <f t="shared" si="0"/>
        <v>147200</v>
      </c>
      <c r="F21" s="20"/>
      <c r="G21" s="17"/>
      <c r="I21" s="11"/>
    </row>
    <row r="22" spans="1:9" ht="22.5" customHeight="1">
      <c r="A22" s="198" t="s">
        <v>80</v>
      </c>
      <c r="B22" s="485">
        <v>70790</v>
      </c>
      <c r="C22" s="485">
        <v>0</v>
      </c>
      <c r="D22" s="485">
        <v>51990</v>
      </c>
      <c r="E22" s="485">
        <f t="shared" si="0"/>
        <v>18800</v>
      </c>
      <c r="F22" s="20"/>
      <c r="G22" s="17"/>
      <c r="I22" s="11"/>
    </row>
    <row r="23" spans="1:9" ht="22.5" customHeight="1">
      <c r="A23" s="16" t="s">
        <v>81</v>
      </c>
      <c r="B23" s="485">
        <v>0</v>
      </c>
      <c r="C23" s="485"/>
      <c r="D23" s="485"/>
      <c r="E23" s="485">
        <v>0</v>
      </c>
      <c r="F23" s="20"/>
      <c r="G23" s="17"/>
      <c r="I23" s="11"/>
    </row>
    <row r="24" spans="1:7" ht="22.5" customHeight="1">
      <c r="A24" s="16"/>
      <c r="B24" s="485"/>
      <c r="C24" s="485"/>
      <c r="D24" s="485"/>
      <c r="E24" s="485"/>
      <c r="F24" s="20"/>
      <c r="G24" s="17"/>
    </row>
    <row r="25" spans="1:9" ht="22.5" customHeight="1">
      <c r="A25" s="21"/>
      <c r="B25" s="487">
        <f>SUM(B8:B24)</f>
        <v>16044825.4</v>
      </c>
      <c r="C25" s="487">
        <f>SUM(C8:C24)</f>
        <v>237380</v>
      </c>
      <c r="D25" s="487">
        <f>SUM(D8:D24)</f>
        <v>171553</v>
      </c>
      <c r="E25" s="487">
        <f>SUM(E8:E24)</f>
        <v>16110652.4</v>
      </c>
      <c r="F25" s="14"/>
      <c r="G25" s="22">
        <f>SUM(G8:G24)</f>
        <v>16110652.4</v>
      </c>
      <c r="I25" s="11"/>
    </row>
    <row r="26" spans="1:10" s="26" customFormat="1" ht="22.5" customHeight="1">
      <c r="A26" s="23"/>
      <c r="B26" s="488"/>
      <c r="C26" s="488"/>
      <c r="D26" s="488"/>
      <c r="E26" s="488"/>
      <c r="F26" s="25"/>
      <c r="G26" s="24"/>
      <c r="I26" s="28"/>
      <c r="J26" s="28"/>
    </row>
    <row r="27" spans="1:10" s="76" customFormat="1" ht="26.25" customHeight="1">
      <c r="A27" s="6" t="s">
        <v>329</v>
      </c>
      <c r="B27" s="92"/>
      <c r="C27" s="526" t="s">
        <v>331</v>
      </c>
      <c r="D27" s="526"/>
      <c r="E27" s="92"/>
      <c r="F27" s="526" t="s">
        <v>330</v>
      </c>
      <c r="G27" s="526"/>
      <c r="H27" s="6"/>
      <c r="I27" s="197"/>
      <c r="J27" s="197"/>
    </row>
    <row r="28" spans="1:10" s="76" customFormat="1" ht="22.5" customHeight="1">
      <c r="A28" s="6" t="s">
        <v>69</v>
      </c>
      <c r="B28" s="92"/>
      <c r="C28" s="526" t="s">
        <v>74</v>
      </c>
      <c r="D28" s="526"/>
      <c r="E28" s="92"/>
      <c r="F28" s="6" t="s">
        <v>70</v>
      </c>
      <c r="G28" s="6"/>
      <c r="H28" s="6"/>
      <c r="I28" s="196"/>
      <c r="J28" s="197"/>
    </row>
    <row r="29" spans="1:10" s="76" customFormat="1" ht="27.75" customHeight="1">
      <c r="A29" s="6" t="s">
        <v>71</v>
      </c>
      <c r="B29" s="92"/>
      <c r="C29" s="526" t="s">
        <v>75</v>
      </c>
      <c r="D29" s="526"/>
      <c r="E29" s="92"/>
      <c r="F29" s="6" t="s">
        <v>72</v>
      </c>
      <c r="G29" s="6"/>
      <c r="H29" s="6"/>
      <c r="I29" s="196"/>
      <c r="J29" s="197"/>
    </row>
    <row r="30" spans="1:10" s="76" customFormat="1" ht="22.5" customHeight="1">
      <c r="A30" s="63" t="s">
        <v>82</v>
      </c>
      <c r="B30" s="92"/>
      <c r="C30" s="92"/>
      <c r="D30" s="92"/>
      <c r="E30" s="92"/>
      <c r="F30" s="6"/>
      <c r="G30" s="6"/>
      <c r="H30" s="6"/>
      <c r="I30" s="196"/>
      <c r="J30" s="197"/>
    </row>
    <row r="31" spans="1:10" s="26" customFormat="1" ht="22.5" customHeight="1">
      <c r="A31" s="23"/>
      <c r="B31" s="488"/>
      <c r="C31" s="488"/>
      <c r="D31" s="488"/>
      <c r="E31" s="488"/>
      <c r="F31" s="25"/>
      <c r="G31" s="24"/>
      <c r="I31" s="27"/>
      <c r="J31" s="28"/>
    </row>
    <row r="32" spans="1:10" s="26" customFormat="1" ht="22.5" customHeight="1">
      <c r="A32" s="23"/>
      <c r="B32" s="488"/>
      <c r="C32" s="488"/>
      <c r="D32" s="488"/>
      <c r="E32" s="488"/>
      <c r="F32" s="25"/>
      <c r="G32" s="24"/>
      <c r="I32" s="27"/>
      <c r="J32" s="28"/>
    </row>
    <row r="33" spans="1:10" s="26" customFormat="1" ht="22.5" customHeight="1">
      <c r="A33" s="30"/>
      <c r="B33" s="489"/>
      <c r="C33" s="489"/>
      <c r="D33" s="489"/>
      <c r="E33" s="489"/>
      <c r="G33" s="32"/>
      <c r="I33" s="27"/>
      <c r="J33" s="28"/>
    </row>
    <row r="34" spans="2:10" s="26" customFormat="1" ht="22.5" customHeight="1">
      <c r="B34" s="490"/>
      <c r="C34" s="490"/>
      <c r="D34" s="490"/>
      <c r="E34" s="490"/>
      <c r="I34" s="27"/>
      <c r="J34" s="28"/>
    </row>
    <row r="35" spans="2:10" s="26" customFormat="1" ht="22.5" customHeight="1">
      <c r="B35" s="490"/>
      <c r="C35" s="490"/>
      <c r="D35" s="490"/>
      <c r="E35" s="490"/>
      <c r="I35" s="27"/>
      <c r="J35" s="28"/>
    </row>
    <row r="36" spans="2:10" s="26" customFormat="1" ht="22.5" customHeight="1">
      <c r="B36" s="490"/>
      <c r="C36" s="490"/>
      <c r="D36" s="490"/>
      <c r="E36" s="490"/>
      <c r="I36" s="27"/>
      <c r="J36" s="28"/>
    </row>
    <row r="37" spans="2:10" s="26" customFormat="1" ht="22.5" customHeight="1">
      <c r="B37" s="490"/>
      <c r="C37" s="490"/>
      <c r="D37" s="490"/>
      <c r="E37" s="490"/>
      <c r="I37" s="27"/>
      <c r="J37" s="28"/>
    </row>
    <row r="38" spans="2:10" s="26" customFormat="1" ht="22.5" customHeight="1">
      <c r="B38" s="490"/>
      <c r="C38" s="490"/>
      <c r="D38" s="490"/>
      <c r="E38" s="490"/>
      <c r="I38" s="27"/>
      <c r="J38" s="28"/>
    </row>
    <row r="39" spans="2:10" s="26" customFormat="1" ht="22.5" customHeight="1">
      <c r="B39" s="490"/>
      <c r="C39" s="490"/>
      <c r="D39" s="490"/>
      <c r="E39" s="490"/>
      <c r="I39" s="27"/>
      <c r="J39" s="28"/>
    </row>
  </sheetData>
  <sheetProtection/>
  <mergeCells count="9">
    <mergeCell ref="C28:D28"/>
    <mergeCell ref="C29:D29"/>
    <mergeCell ref="A1:G1"/>
    <mergeCell ref="A2:G2"/>
    <mergeCell ref="A3:G3"/>
    <mergeCell ref="A5:A6"/>
    <mergeCell ref="F5:G5"/>
    <mergeCell ref="C27:D27"/>
    <mergeCell ref="F27:G27"/>
  </mergeCells>
  <printOptions/>
  <pageMargins left="0.24" right="0.11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C19">
      <selection activeCell="F52" sqref="F52"/>
    </sheetView>
  </sheetViews>
  <sheetFormatPr defaultColWidth="9.140625" defaultRowHeight="12.75"/>
  <cols>
    <col min="1" max="1" width="6.00390625" style="216" customWidth="1"/>
    <col min="2" max="2" width="36.28125" style="216" customWidth="1"/>
    <col min="3" max="3" width="12.57421875" style="250" customWidth="1"/>
    <col min="4" max="4" width="13.00390625" style="216" customWidth="1"/>
    <col min="5" max="5" width="14.7109375" style="251" customWidth="1"/>
    <col min="6" max="6" width="12.57421875" style="216" customWidth="1"/>
    <col min="7" max="16384" width="9.140625" style="216" customWidth="1"/>
  </cols>
  <sheetData>
    <row r="1" spans="1:6" ht="24">
      <c r="A1" s="537" t="s">
        <v>705</v>
      </c>
      <c r="B1" s="537"/>
      <c r="C1" s="537"/>
      <c r="D1" s="537"/>
      <c r="E1" s="537"/>
      <c r="F1" s="537"/>
    </row>
    <row r="2" spans="1:6" ht="24.75" thickBot="1">
      <c r="A2" s="538" t="s">
        <v>340</v>
      </c>
      <c r="B2" s="538"/>
      <c r="C2" s="538"/>
      <c r="D2" s="538"/>
      <c r="E2" s="538"/>
      <c r="F2" s="538"/>
    </row>
    <row r="3" spans="1:6" ht="24.75" thickBot="1">
      <c r="A3" s="217" t="s">
        <v>348</v>
      </c>
      <c r="B3" s="217" t="s">
        <v>349</v>
      </c>
      <c r="C3" s="217" t="s">
        <v>24</v>
      </c>
      <c r="D3" s="218" t="s">
        <v>15</v>
      </c>
      <c r="E3" s="219" t="s">
        <v>345</v>
      </c>
      <c r="F3" s="220" t="s">
        <v>45</v>
      </c>
    </row>
    <row r="4" spans="1:6" ht="24">
      <c r="A4" s="221"/>
      <c r="B4" s="222" t="s">
        <v>25</v>
      </c>
      <c r="C4" s="222"/>
      <c r="D4" s="223"/>
      <c r="E4" s="224"/>
      <c r="F4" s="225"/>
    </row>
    <row r="5" spans="1:6" ht="24">
      <c r="A5" s="221"/>
      <c r="B5" s="226"/>
      <c r="C5" s="226"/>
      <c r="D5" s="223"/>
      <c r="E5" s="224"/>
      <c r="F5" s="225"/>
    </row>
    <row r="6" spans="1:6" ht="24">
      <c r="A6" s="227"/>
      <c r="B6" s="228" t="s">
        <v>26</v>
      </c>
      <c r="C6" s="228"/>
      <c r="D6" s="229"/>
      <c r="E6" s="230"/>
      <c r="F6" s="231"/>
    </row>
    <row r="7" spans="1:6" ht="24">
      <c r="A7" s="227"/>
      <c r="B7" s="228" t="s">
        <v>46</v>
      </c>
      <c r="C7" s="228"/>
      <c r="D7" s="229"/>
      <c r="E7" s="230"/>
      <c r="F7" s="231"/>
    </row>
    <row r="8" spans="1:6" ht="24">
      <c r="A8" s="231"/>
      <c r="B8" s="232"/>
      <c r="C8" s="231"/>
      <c r="D8" s="229"/>
      <c r="E8" s="230"/>
      <c r="F8" s="231"/>
    </row>
    <row r="9" spans="1:6" ht="24">
      <c r="A9" s="228">
        <v>1</v>
      </c>
      <c r="B9" s="233" t="s">
        <v>112</v>
      </c>
      <c r="C9" s="231"/>
      <c r="D9" s="229"/>
      <c r="E9" s="234"/>
      <c r="F9" s="231"/>
    </row>
    <row r="10" spans="1:6" ht="24">
      <c r="A10" s="231"/>
      <c r="B10" s="232" t="s">
        <v>342</v>
      </c>
      <c r="C10" s="231">
        <v>3</v>
      </c>
      <c r="D10" s="229">
        <v>5500</v>
      </c>
      <c r="E10" s="234">
        <f>SUM(C10*D10)</f>
        <v>16500</v>
      </c>
      <c r="F10" s="231" t="s">
        <v>121</v>
      </c>
    </row>
    <row r="11" spans="1:6" ht="24">
      <c r="A11" s="231"/>
      <c r="B11" s="232" t="s">
        <v>343</v>
      </c>
      <c r="C11" s="231">
        <v>3</v>
      </c>
      <c r="D11" s="229">
        <v>5500</v>
      </c>
      <c r="E11" s="234">
        <f>SUM(C11*D11)</f>
        <v>16500</v>
      </c>
      <c r="F11" s="231" t="s">
        <v>121</v>
      </c>
    </row>
    <row r="12" spans="1:6" ht="24">
      <c r="A12" s="231"/>
      <c r="B12" s="232" t="s">
        <v>344</v>
      </c>
      <c r="C12" s="231">
        <v>2</v>
      </c>
      <c r="D12" s="229">
        <v>2690</v>
      </c>
      <c r="E12" s="234">
        <f>SUM(C12*D12)</f>
        <v>5380</v>
      </c>
      <c r="F12" s="231" t="s">
        <v>121</v>
      </c>
    </row>
    <row r="13" spans="1:6" ht="24">
      <c r="A13" s="231"/>
      <c r="B13" s="232"/>
      <c r="C13" s="231"/>
      <c r="D13" s="229"/>
      <c r="E13" s="234"/>
      <c r="F13" s="231"/>
    </row>
    <row r="14" spans="1:6" ht="24">
      <c r="A14" s="231"/>
      <c r="B14" s="232"/>
      <c r="C14" s="231"/>
      <c r="D14" s="229"/>
      <c r="E14" s="234"/>
      <c r="F14" s="231"/>
    </row>
    <row r="15" spans="1:6" ht="24">
      <c r="A15" s="231"/>
      <c r="B15" s="232"/>
      <c r="C15" s="231"/>
      <c r="D15" s="229"/>
      <c r="E15" s="234"/>
      <c r="F15" s="231"/>
    </row>
    <row r="16" spans="1:6" ht="24">
      <c r="A16" s="231"/>
      <c r="B16" s="232"/>
      <c r="C16" s="231"/>
      <c r="D16" s="229"/>
      <c r="E16" s="234"/>
      <c r="F16" s="231"/>
    </row>
    <row r="17" spans="1:6" ht="24">
      <c r="A17" s="228">
        <v>2</v>
      </c>
      <c r="B17" s="233" t="s">
        <v>346</v>
      </c>
      <c r="C17" s="231"/>
      <c r="D17" s="229"/>
      <c r="E17" s="234"/>
      <c r="F17" s="231"/>
    </row>
    <row r="18" spans="1:6" ht="24">
      <c r="A18" s="231"/>
      <c r="B18" s="232" t="s">
        <v>347</v>
      </c>
      <c r="C18" s="231">
        <v>1</v>
      </c>
      <c r="D18" s="229">
        <v>199000</v>
      </c>
      <c r="E18" s="234">
        <f>SUM(C18*D18)</f>
        <v>199000</v>
      </c>
      <c r="F18" s="231" t="s">
        <v>121</v>
      </c>
    </row>
    <row r="19" spans="1:6" ht="24">
      <c r="A19" s="231"/>
      <c r="B19" s="232"/>
      <c r="C19" s="231"/>
      <c r="D19" s="229"/>
      <c r="E19" s="234"/>
      <c r="F19" s="231"/>
    </row>
    <row r="20" spans="1:6" s="239" customFormat="1" ht="24">
      <c r="A20" s="235"/>
      <c r="B20" s="237"/>
      <c r="C20" s="231"/>
      <c r="D20" s="238"/>
      <c r="E20" s="230"/>
      <c r="F20" s="231"/>
    </row>
    <row r="21" spans="1:6" s="239" customFormat="1" ht="24">
      <c r="A21" s="237"/>
      <c r="B21" s="237"/>
      <c r="C21" s="231"/>
      <c r="D21" s="238"/>
      <c r="E21" s="234"/>
      <c r="F21" s="237"/>
    </row>
    <row r="22" spans="1:6" s="239" customFormat="1" ht="24">
      <c r="A22" s="237"/>
      <c r="B22" s="237"/>
      <c r="C22" s="231"/>
      <c r="D22" s="238"/>
      <c r="E22" s="234"/>
      <c r="F22" s="237"/>
    </row>
    <row r="23" spans="1:6" s="241" customFormat="1" ht="24.75" thickBot="1">
      <c r="A23" s="237"/>
      <c r="B23" s="228"/>
      <c r="C23" s="228"/>
      <c r="D23" s="240"/>
      <c r="E23" s="236"/>
      <c r="F23" s="237"/>
    </row>
    <row r="24" spans="1:6" ht="25.5" thickBot="1" thickTop="1">
      <c r="A24" s="242"/>
      <c r="B24" s="243" t="s">
        <v>30</v>
      </c>
      <c r="C24" s="243"/>
      <c r="D24" s="244"/>
      <c r="E24" s="245">
        <f>SUM(E10:E23)</f>
        <v>237380</v>
      </c>
      <c r="F24" s="243"/>
    </row>
    <row r="25" spans="1:6" ht="24.75" thickTop="1">
      <c r="A25" s="246"/>
      <c r="B25" s="247"/>
      <c r="C25" s="246"/>
      <c r="D25" s="248"/>
      <c r="E25" s="249"/>
      <c r="F25" s="246"/>
    </row>
  </sheetData>
  <sheetProtection/>
  <mergeCells count="2">
    <mergeCell ref="A1:F1"/>
    <mergeCell ref="A2:F2"/>
  </mergeCells>
  <printOptions/>
  <pageMargins left="0.48" right="0.3" top="0.77" bottom="0.34" header="1.01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34">
      <selection activeCell="H13" sqref="H13"/>
    </sheetView>
  </sheetViews>
  <sheetFormatPr defaultColWidth="9.140625" defaultRowHeight="12.75"/>
  <cols>
    <col min="1" max="1" width="5.00390625" style="252" customWidth="1"/>
    <col min="2" max="2" width="37.7109375" style="252" customWidth="1"/>
    <col min="3" max="3" width="12.57421875" style="285" customWidth="1"/>
    <col min="4" max="4" width="13.00390625" style="252" customWidth="1"/>
    <col min="5" max="5" width="14.7109375" style="286" customWidth="1"/>
    <col min="6" max="6" width="13.140625" style="252" customWidth="1"/>
    <col min="7" max="16384" width="9.140625" style="252" customWidth="1"/>
  </cols>
  <sheetData>
    <row r="1" spans="1:6" ht="24">
      <c r="A1" s="539" t="s">
        <v>339</v>
      </c>
      <c r="B1" s="539"/>
      <c r="C1" s="539"/>
      <c r="D1" s="539"/>
      <c r="E1" s="539"/>
      <c r="F1" s="539"/>
    </row>
    <row r="2" spans="1:6" ht="24.75" thickBot="1">
      <c r="A2" s="540" t="s">
        <v>340</v>
      </c>
      <c r="B2" s="540"/>
      <c r="C2" s="540"/>
      <c r="D2" s="540"/>
      <c r="E2" s="540"/>
      <c r="F2" s="540"/>
    </row>
    <row r="3" spans="1:6" ht="24.75" thickBot="1">
      <c r="A3" s="253"/>
      <c r="B3" s="253" t="s">
        <v>341</v>
      </c>
      <c r="C3" s="253" t="s">
        <v>24</v>
      </c>
      <c r="D3" s="254" t="s">
        <v>15</v>
      </c>
      <c r="E3" s="255" t="s">
        <v>14</v>
      </c>
      <c r="F3" s="256" t="s">
        <v>45</v>
      </c>
    </row>
    <row r="4" spans="1:6" ht="24">
      <c r="A4" s="257"/>
      <c r="B4" s="258" t="s">
        <v>26</v>
      </c>
      <c r="C4" s="258"/>
      <c r="D4" s="259"/>
      <c r="E4" s="260"/>
      <c r="F4" s="261"/>
    </row>
    <row r="5" spans="1:6" ht="24">
      <c r="A5" s="257"/>
      <c r="B5" s="258" t="s">
        <v>46</v>
      </c>
      <c r="C5" s="258"/>
      <c r="D5" s="259"/>
      <c r="E5" s="260"/>
      <c r="F5" s="261"/>
    </row>
    <row r="6" spans="1:6" ht="24">
      <c r="A6" s="258">
        <v>1</v>
      </c>
      <c r="B6" s="262" t="s">
        <v>351</v>
      </c>
      <c r="C6" s="261"/>
      <c r="D6" s="259"/>
      <c r="E6" s="263"/>
      <c r="F6" s="261"/>
    </row>
    <row r="7" spans="1:6" ht="24">
      <c r="A7" s="261"/>
      <c r="B7" s="264" t="s">
        <v>355</v>
      </c>
      <c r="C7" s="261">
        <v>1</v>
      </c>
      <c r="D7" s="259">
        <v>13800</v>
      </c>
      <c r="E7" s="263">
        <f aca="true" t="shared" si="0" ref="E7:E19">SUM(C7*D7)</f>
        <v>13800</v>
      </c>
      <c r="F7" s="261" t="s">
        <v>121</v>
      </c>
    </row>
    <row r="8" spans="1:6" ht="24">
      <c r="A8" s="261"/>
      <c r="B8" s="264" t="s">
        <v>352</v>
      </c>
      <c r="C8" s="261">
        <v>1</v>
      </c>
      <c r="D8" s="259">
        <v>13800</v>
      </c>
      <c r="E8" s="263">
        <f t="shared" si="0"/>
        <v>13800</v>
      </c>
      <c r="F8" s="261" t="s">
        <v>121</v>
      </c>
    </row>
    <row r="9" spans="1:6" ht="24">
      <c r="A9" s="258">
        <v>2</v>
      </c>
      <c r="B9" s="262" t="s">
        <v>112</v>
      </c>
      <c r="C9" s="261"/>
      <c r="D9" s="259"/>
      <c r="E9" s="263"/>
      <c r="F9" s="261"/>
    </row>
    <row r="10" spans="1:6" ht="24">
      <c r="A10" s="261"/>
      <c r="B10" s="271" t="s">
        <v>689</v>
      </c>
      <c r="C10" s="261">
        <v>1</v>
      </c>
      <c r="D10" s="259">
        <v>1100</v>
      </c>
      <c r="E10" s="263">
        <f t="shared" si="0"/>
        <v>1100</v>
      </c>
      <c r="F10" s="261" t="s">
        <v>121</v>
      </c>
    </row>
    <row r="11" spans="1:6" s="265" customFormat="1" ht="24">
      <c r="A11" s="261"/>
      <c r="B11" s="264" t="s">
        <v>353</v>
      </c>
      <c r="C11" s="261">
        <v>1</v>
      </c>
      <c r="D11" s="259">
        <v>2000</v>
      </c>
      <c r="E11" s="263">
        <f t="shared" si="0"/>
        <v>2000</v>
      </c>
      <c r="F11" s="261" t="s">
        <v>121</v>
      </c>
    </row>
    <row r="12" spans="1:6" ht="24">
      <c r="A12" s="261"/>
      <c r="B12" s="264" t="s">
        <v>354</v>
      </c>
      <c r="C12" s="261">
        <v>5</v>
      </c>
      <c r="D12" s="259">
        <v>1800</v>
      </c>
      <c r="E12" s="263">
        <f t="shared" si="0"/>
        <v>9000</v>
      </c>
      <c r="F12" s="261" t="s">
        <v>121</v>
      </c>
    </row>
    <row r="13" spans="1:6" ht="24">
      <c r="A13" s="261"/>
      <c r="B13" s="264" t="s">
        <v>356</v>
      </c>
      <c r="C13" s="261">
        <v>3</v>
      </c>
      <c r="D13" s="259">
        <v>5000</v>
      </c>
      <c r="E13" s="263">
        <f t="shared" si="0"/>
        <v>15000</v>
      </c>
      <c r="F13" s="261" t="s">
        <v>121</v>
      </c>
    </row>
    <row r="14" spans="1:6" ht="24">
      <c r="A14" s="261"/>
      <c r="B14" s="264" t="s">
        <v>357</v>
      </c>
      <c r="C14" s="261">
        <v>1</v>
      </c>
      <c r="D14" s="259">
        <v>1483</v>
      </c>
      <c r="E14" s="263">
        <f t="shared" si="0"/>
        <v>1483</v>
      </c>
      <c r="F14" s="261" t="s">
        <v>121</v>
      </c>
    </row>
    <row r="15" spans="1:6" ht="24">
      <c r="A15" s="261"/>
      <c r="B15" s="264" t="s">
        <v>358</v>
      </c>
      <c r="C15" s="261">
        <v>2</v>
      </c>
      <c r="D15" s="259">
        <v>1900</v>
      </c>
      <c r="E15" s="263">
        <f t="shared" si="0"/>
        <v>3800</v>
      </c>
      <c r="F15" s="261" t="s">
        <v>121</v>
      </c>
    </row>
    <row r="16" spans="1:6" ht="24">
      <c r="A16" s="261"/>
      <c r="B16" s="264" t="s">
        <v>359</v>
      </c>
      <c r="C16" s="261">
        <v>1</v>
      </c>
      <c r="D16" s="259">
        <v>12000</v>
      </c>
      <c r="E16" s="263">
        <f t="shared" si="0"/>
        <v>12000</v>
      </c>
      <c r="F16" s="261" t="s">
        <v>121</v>
      </c>
    </row>
    <row r="17" spans="1:6" ht="24">
      <c r="A17" s="261"/>
      <c r="B17" s="264" t="s">
        <v>360</v>
      </c>
      <c r="C17" s="261">
        <v>1</v>
      </c>
      <c r="D17" s="259">
        <v>580</v>
      </c>
      <c r="E17" s="263">
        <f t="shared" si="0"/>
        <v>580</v>
      </c>
      <c r="F17" s="261" t="s">
        <v>121</v>
      </c>
    </row>
    <row r="18" spans="1:6" ht="24">
      <c r="A18" s="258">
        <v>3</v>
      </c>
      <c r="B18" s="262" t="s">
        <v>350</v>
      </c>
      <c r="C18" s="261"/>
      <c r="D18" s="259"/>
      <c r="E18" s="263"/>
      <c r="F18" s="261"/>
    </row>
    <row r="19" spans="1:6" ht="24">
      <c r="A19" s="261"/>
      <c r="B19" s="264" t="s">
        <v>361</v>
      </c>
      <c r="C19" s="261">
        <v>1</v>
      </c>
      <c r="D19" s="259">
        <v>47000</v>
      </c>
      <c r="E19" s="263">
        <f t="shared" si="0"/>
        <v>47000</v>
      </c>
      <c r="F19" s="287" t="s">
        <v>362</v>
      </c>
    </row>
    <row r="20" spans="1:6" ht="24">
      <c r="A20" s="258">
        <v>4</v>
      </c>
      <c r="B20" s="262" t="s">
        <v>363</v>
      </c>
      <c r="C20" s="261"/>
      <c r="D20" s="259"/>
      <c r="E20" s="263"/>
      <c r="F20" s="261"/>
    </row>
    <row r="21" spans="1:6" ht="24">
      <c r="A21" s="261"/>
      <c r="B21" s="264" t="s">
        <v>364</v>
      </c>
      <c r="C21" s="261">
        <v>1</v>
      </c>
      <c r="D21" s="259">
        <v>51990</v>
      </c>
      <c r="E21" s="263">
        <f>SUM(C21*D21)</f>
        <v>51990</v>
      </c>
      <c r="F21" s="261" t="s">
        <v>121</v>
      </c>
    </row>
    <row r="22" spans="1:6" ht="24">
      <c r="A22" s="261"/>
      <c r="B22" s="264"/>
      <c r="C22" s="261"/>
      <c r="D22" s="259"/>
      <c r="E22" s="263"/>
      <c r="F22" s="261"/>
    </row>
    <row r="23" spans="1:6" ht="24">
      <c r="A23" s="261"/>
      <c r="B23" s="264"/>
      <c r="C23" s="261"/>
      <c r="D23" s="259"/>
      <c r="E23" s="263"/>
      <c r="F23" s="261"/>
    </row>
    <row r="24" spans="1:6" ht="24">
      <c r="A24" s="261"/>
      <c r="B24" s="264"/>
      <c r="C24" s="261"/>
      <c r="D24" s="259"/>
      <c r="E24" s="263"/>
      <c r="F24" s="261"/>
    </row>
    <row r="25" spans="1:6" ht="24">
      <c r="A25" s="261"/>
      <c r="B25" s="264"/>
      <c r="C25" s="261"/>
      <c r="D25" s="259"/>
      <c r="E25" s="263"/>
      <c r="F25" s="261"/>
    </row>
    <row r="26" spans="1:6" ht="24">
      <c r="A26" s="261"/>
      <c r="B26" s="258"/>
      <c r="C26" s="267"/>
      <c r="D26" s="268"/>
      <c r="E26" s="269"/>
      <c r="F26" s="270"/>
    </row>
    <row r="27" spans="1:6" s="273" customFormat="1" ht="24">
      <c r="A27" s="266"/>
      <c r="B27" s="266"/>
      <c r="C27" s="261"/>
      <c r="D27" s="272"/>
      <c r="E27" s="260"/>
      <c r="F27" s="271"/>
    </row>
    <row r="28" spans="1:6" s="273" customFormat="1" ht="24">
      <c r="A28" s="271"/>
      <c r="B28" s="271"/>
      <c r="C28" s="261"/>
      <c r="D28" s="272"/>
      <c r="E28" s="263"/>
      <c r="F28" s="271"/>
    </row>
    <row r="29" spans="1:6" s="273" customFormat="1" ht="24">
      <c r="A29" s="271"/>
      <c r="B29" s="271"/>
      <c r="C29" s="261"/>
      <c r="D29" s="272"/>
      <c r="E29" s="263"/>
      <c r="F29" s="271"/>
    </row>
    <row r="30" spans="1:6" s="276" customFormat="1" ht="24.75" thickBot="1">
      <c r="A30" s="271"/>
      <c r="B30" s="258"/>
      <c r="C30" s="258"/>
      <c r="D30" s="274"/>
      <c r="E30" s="275"/>
      <c r="F30" s="271"/>
    </row>
    <row r="31" spans="1:6" ht="25.5" thickBot="1" thickTop="1">
      <c r="A31" s="277"/>
      <c r="B31" s="278" t="s">
        <v>30</v>
      </c>
      <c r="C31" s="278"/>
      <c r="D31" s="279"/>
      <c r="E31" s="280">
        <f>SUM(E7:E23)</f>
        <v>171553</v>
      </c>
      <c r="F31" s="278" t="s">
        <v>29</v>
      </c>
    </row>
    <row r="32" spans="1:6" ht="24.75" thickTop="1">
      <c r="A32" s="281"/>
      <c r="B32" s="282"/>
      <c r="C32" s="281"/>
      <c r="D32" s="283"/>
      <c r="E32" s="284"/>
      <c r="F32" s="281"/>
    </row>
  </sheetData>
  <sheetProtection/>
  <mergeCells count="2">
    <mergeCell ref="A1:F1"/>
    <mergeCell ref="A2:F2"/>
  </mergeCells>
  <printOptions/>
  <pageMargins left="0.48" right="0.19" top="0.28" bottom="0.34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22">
      <selection activeCell="G7" sqref="G7"/>
    </sheetView>
  </sheetViews>
  <sheetFormatPr defaultColWidth="9.140625" defaultRowHeight="12.75"/>
  <cols>
    <col min="1" max="1" width="7.8515625" style="0" customWidth="1"/>
    <col min="2" max="2" width="13.421875" style="0" customWidth="1"/>
    <col min="7" max="7" width="9.57421875" style="0" customWidth="1"/>
    <col min="8" max="8" width="15.8515625" style="0" customWidth="1"/>
    <col min="9" max="9" width="9.140625" style="505" customWidth="1"/>
  </cols>
  <sheetData>
    <row r="1" spans="1:9" ht="25.5" customHeight="1">
      <c r="A1" s="543" t="s">
        <v>51</v>
      </c>
      <c r="B1" s="543"/>
      <c r="C1" s="543"/>
      <c r="D1" s="543"/>
      <c r="E1" s="543"/>
      <c r="F1" s="543"/>
      <c r="G1" s="543"/>
      <c r="H1" s="543"/>
      <c r="I1" s="543"/>
    </row>
    <row r="2" spans="1:9" ht="25.5" customHeight="1">
      <c r="A2" s="543" t="s">
        <v>137</v>
      </c>
      <c r="B2" s="543"/>
      <c r="C2" s="543"/>
      <c r="D2" s="543"/>
      <c r="E2" s="543"/>
      <c r="F2" s="543"/>
      <c r="G2" s="543"/>
      <c r="H2" s="543"/>
      <c r="I2" s="543"/>
    </row>
    <row r="3" spans="1:9" ht="25.5" customHeight="1">
      <c r="A3" s="543" t="s">
        <v>138</v>
      </c>
      <c r="B3" s="543"/>
      <c r="C3" s="543"/>
      <c r="D3" s="543"/>
      <c r="E3" s="543"/>
      <c r="F3" s="543"/>
      <c r="G3" s="543"/>
      <c r="H3" s="543"/>
      <c r="I3" s="543"/>
    </row>
    <row r="5" spans="1:7" ht="24">
      <c r="A5" s="336" t="s">
        <v>494</v>
      </c>
      <c r="B5" s="48"/>
      <c r="C5" s="48"/>
      <c r="D5" s="48"/>
      <c r="E5" s="48"/>
      <c r="F5" s="48"/>
      <c r="G5" s="48"/>
    </row>
    <row r="6" spans="1:7" ht="24">
      <c r="A6" s="48"/>
      <c r="B6" s="48"/>
      <c r="C6" s="48"/>
      <c r="D6" s="48"/>
      <c r="E6" s="48"/>
      <c r="F6" s="48"/>
      <c r="G6" s="48"/>
    </row>
    <row r="7" spans="1:9" ht="24">
      <c r="A7" s="48"/>
      <c r="B7" s="48" t="s">
        <v>495</v>
      </c>
      <c r="C7" s="48" t="s">
        <v>684</v>
      </c>
      <c r="D7" s="48"/>
      <c r="E7" s="48"/>
      <c r="F7" s="48"/>
      <c r="G7" s="48"/>
      <c r="H7" s="337">
        <v>4177053.24</v>
      </c>
      <c r="I7" s="373" t="s">
        <v>29</v>
      </c>
    </row>
    <row r="8" spans="1:9" ht="24">
      <c r="A8" s="48"/>
      <c r="B8" s="48" t="s">
        <v>495</v>
      </c>
      <c r="C8" s="48" t="s">
        <v>685</v>
      </c>
      <c r="D8" s="48"/>
      <c r="E8" s="48"/>
      <c r="F8" s="48"/>
      <c r="G8" s="48"/>
      <c r="H8" s="337">
        <v>624929.21</v>
      </c>
      <c r="I8" s="373" t="s">
        <v>29</v>
      </c>
    </row>
    <row r="9" spans="1:9" ht="24">
      <c r="A9" s="48"/>
      <c r="B9" s="48" t="s">
        <v>495</v>
      </c>
      <c r="C9" s="48" t="s">
        <v>496</v>
      </c>
      <c r="D9" s="48"/>
      <c r="E9" s="48"/>
      <c r="F9" s="48"/>
      <c r="G9" s="48"/>
      <c r="H9" s="337">
        <v>8899043.27</v>
      </c>
      <c r="I9" s="373" t="s">
        <v>29</v>
      </c>
    </row>
    <row r="10" spans="1:9" ht="24.75" thickBot="1">
      <c r="A10" s="48"/>
      <c r="B10" s="543" t="s">
        <v>14</v>
      </c>
      <c r="C10" s="543"/>
      <c r="D10" s="543"/>
      <c r="E10" s="543"/>
      <c r="F10" s="543"/>
      <c r="G10" s="543"/>
      <c r="H10" s="338">
        <f>SUM(H7:H9)</f>
        <v>13701025.719999999</v>
      </c>
      <c r="I10" s="373" t="s">
        <v>29</v>
      </c>
    </row>
    <row r="11" spans="1:7" ht="24.75" thickTop="1">
      <c r="A11" s="48"/>
      <c r="B11" s="48"/>
      <c r="C11" s="48"/>
      <c r="D11" s="48"/>
      <c r="E11" s="48"/>
      <c r="F11" s="48"/>
      <c r="G11" s="48"/>
    </row>
    <row r="12" spans="2:7" ht="24">
      <c r="B12" s="48"/>
      <c r="C12" s="48"/>
      <c r="D12" s="48"/>
      <c r="E12" s="48"/>
      <c r="F12" s="48"/>
      <c r="G12" s="48"/>
    </row>
    <row r="13" spans="1:7" ht="24">
      <c r="A13" s="336" t="s">
        <v>497</v>
      </c>
      <c r="B13" s="48"/>
      <c r="G13" s="48"/>
    </row>
    <row r="14" spans="1:7" ht="24">
      <c r="A14" s="48"/>
      <c r="B14" s="48"/>
      <c r="G14" s="48"/>
    </row>
    <row r="15" spans="1:9" ht="24">
      <c r="A15" s="48"/>
      <c r="B15" s="48" t="s">
        <v>177</v>
      </c>
      <c r="H15" s="337">
        <v>923897.37</v>
      </c>
      <c r="I15" s="373" t="s">
        <v>29</v>
      </c>
    </row>
    <row r="16" spans="1:8" ht="24">
      <c r="A16" s="48"/>
      <c r="B16" s="48"/>
      <c r="H16" s="337">
        <v>923897.37</v>
      </c>
    </row>
    <row r="17" spans="1:9" ht="24.75" thickBot="1">
      <c r="A17" s="48"/>
      <c r="B17" s="543" t="s">
        <v>14</v>
      </c>
      <c r="C17" s="543"/>
      <c r="D17" s="543"/>
      <c r="E17" s="543"/>
      <c r="F17" s="543"/>
      <c r="G17" s="543"/>
      <c r="H17" s="338">
        <f>SUM(H16)</f>
        <v>923897.37</v>
      </c>
      <c r="I17" s="373" t="s">
        <v>29</v>
      </c>
    </row>
    <row r="18" ht="13.5" thickTop="1"/>
    <row r="22" spans="1:10" s="476" customFormat="1" ht="21.75">
      <c r="A22" s="544" t="s">
        <v>209</v>
      </c>
      <c r="B22" s="544"/>
      <c r="C22" s="544"/>
      <c r="D22" s="544" t="s">
        <v>209</v>
      </c>
      <c r="E22" s="544"/>
      <c r="F22" s="544"/>
      <c r="G22" s="475" t="s">
        <v>210</v>
      </c>
      <c r="H22" s="475"/>
      <c r="I22" s="504"/>
      <c r="J22" s="1"/>
    </row>
    <row r="23" spans="1:10" s="476" customFormat="1" ht="21.75">
      <c r="A23" s="541" t="s">
        <v>207</v>
      </c>
      <c r="B23" s="541"/>
      <c r="C23" s="541"/>
      <c r="D23" s="541" t="s">
        <v>207</v>
      </c>
      <c r="E23" s="541"/>
      <c r="F23" s="541"/>
      <c r="G23" s="542" t="s">
        <v>208</v>
      </c>
      <c r="H23" s="542"/>
      <c r="I23" s="542"/>
      <c r="J23" s="542"/>
    </row>
    <row r="24" spans="1:10" s="476" customFormat="1" ht="21.75">
      <c r="A24" s="541" t="s">
        <v>71</v>
      </c>
      <c r="B24" s="541"/>
      <c r="C24" s="541"/>
      <c r="D24" s="541" t="s">
        <v>683</v>
      </c>
      <c r="E24" s="541"/>
      <c r="F24" s="541"/>
      <c r="G24" s="541" t="s">
        <v>72</v>
      </c>
      <c r="H24" s="541"/>
      <c r="I24" s="541"/>
      <c r="J24" s="541"/>
    </row>
    <row r="25" spans="1:10" s="476" customFormat="1" ht="21.75">
      <c r="A25" s="541" t="s">
        <v>73</v>
      </c>
      <c r="B25" s="541"/>
      <c r="C25" s="541"/>
      <c r="D25" s="541"/>
      <c r="E25" s="541"/>
      <c r="F25" s="541"/>
      <c r="G25" s="541"/>
      <c r="H25" s="541"/>
      <c r="I25" s="541"/>
      <c r="J25" s="541"/>
    </row>
  </sheetData>
  <sheetProtection/>
  <mergeCells count="16">
    <mergeCell ref="A1:I1"/>
    <mergeCell ref="A2:I2"/>
    <mergeCell ref="A3:I3"/>
    <mergeCell ref="B10:G10"/>
    <mergeCell ref="B17:G17"/>
    <mergeCell ref="A22:C22"/>
    <mergeCell ref="D22:F22"/>
    <mergeCell ref="A25:C25"/>
    <mergeCell ref="D25:F25"/>
    <mergeCell ref="G25:J25"/>
    <mergeCell ref="A23:C23"/>
    <mergeCell ref="D23:F23"/>
    <mergeCell ref="G23:J23"/>
    <mergeCell ref="A24:C24"/>
    <mergeCell ref="D24:F24"/>
    <mergeCell ref="G24:J24"/>
  </mergeCells>
  <printOptions/>
  <pageMargins left="0.59" right="0.38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KKD Windows 7 V.3</cp:lastModifiedBy>
  <cp:lastPrinted>2017-10-25T06:15:35Z</cp:lastPrinted>
  <dcterms:created xsi:type="dcterms:W3CDTF">2005-12-07T02:50:10Z</dcterms:created>
  <dcterms:modified xsi:type="dcterms:W3CDTF">2017-10-31T03:06:25Z</dcterms:modified>
  <cp:category/>
  <cp:version/>
  <cp:contentType/>
  <cp:contentStatus/>
</cp:coreProperties>
</file>