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85" windowWidth="11355" windowHeight="5460" tabRatio="948" firstSheet="12" activeTab="16"/>
  </bookViews>
  <sheets>
    <sheet name="งบทดลองหลังปิดบัญชี" sheetId="20" r:id="rId1"/>
    <sheet name="หมายเหตุนโยบายการบัญชี(61)" sheetId="52" r:id="rId2"/>
    <sheet name="หมายเหตุ 1รับจ่ายจริง" sheetId="58" r:id="rId3"/>
    <sheet name="งบรายรับ-รายจ่าย(61)" sheetId="57" r:id="rId4"/>
    <sheet name="งบแสดงฐานะการเงิน(สท,นส)" sheetId="56" r:id="rId5"/>
    <sheet name="หมายเหตุงบทรัพย์สิน61" sheetId="60" r:id="rId6"/>
    <sheet name="งบทรัพย์สิน61(หมายเหตุ2)" sheetId="43" r:id="rId7"/>
    <sheet name="รายละเอียดสินทรัพย์รับเพิ่ม61" sheetId="49" r:id="rId8"/>
    <sheet name="หมายเหตุ 3-4" sheetId="62" r:id="rId9"/>
    <sheet name="หมายเหตุ 6 และ7(ลูกหนี้)" sheetId="77" r:id="rId10"/>
    <sheet name="หมายเหตุ5,9" sheetId="63" r:id="rId11"/>
    <sheet name="หมายเหตุ8" sheetId="64" r:id="rId12"/>
    <sheet name="หมายเหตุ10เงินสะสม (61)" sheetId="27" r:id="rId13"/>
    <sheet name="แนบท้ายหมายเหตุ 10" sheetId="65" r:id="rId14"/>
    <sheet name="หมายเหตุ11เงินทุน" sheetId="67" r:id="rId15"/>
    <sheet name="แนบท้ายหมายเหตุ11" sheetId="66" r:id="rId16"/>
    <sheet name="บัญชีเงินรับฝาก(61)" sheetId="61" r:id="rId17"/>
    <sheet name="แบบ กค4(ลูกหนี้ค่าขยะ)" sheetId="54" r:id="rId18"/>
  </sheets>
  <calcPr calcId="144525"/>
</workbook>
</file>

<file path=xl/calcChain.xml><?xml version="1.0" encoding="utf-8"?>
<calcChain xmlns="http://schemas.openxmlformats.org/spreadsheetml/2006/main">
  <c r="E44" i="49" l="1"/>
  <c r="E45" i="49" s="1"/>
  <c r="E38" i="49"/>
  <c r="E22" i="49"/>
  <c r="E21" i="49"/>
  <c r="E30" i="49"/>
  <c r="E29" i="49"/>
  <c r="E28" i="49"/>
  <c r="E27" i="49"/>
  <c r="E26" i="49"/>
  <c r="E25" i="49"/>
  <c r="E24" i="49"/>
  <c r="E23" i="49"/>
  <c r="E39" i="49"/>
  <c r="E40" i="49" s="1"/>
  <c r="E18" i="49"/>
  <c r="E19" i="49" s="1"/>
  <c r="E15" i="49"/>
  <c r="E16" i="49" s="1"/>
  <c r="E12" i="49"/>
  <c r="C16" i="54"/>
  <c r="E41" i="49" l="1"/>
  <c r="E46" i="49" s="1"/>
  <c r="C43" i="63" l="1"/>
  <c r="E23" i="77" l="1"/>
  <c r="G23" i="77"/>
  <c r="C24" i="60"/>
  <c r="C23" i="60"/>
  <c r="C22" i="60"/>
  <c r="C21" i="60"/>
  <c r="C19" i="60"/>
  <c r="C17" i="60"/>
  <c r="C16" i="60"/>
  <c r="C14" i="60"/>
  <c r="B27" i="60"/>
  <c r="B26" i="60"/>
  <c r="B25" i="60"/>
  <c r="B24" i="60"/>
  <c r="B23" i="60"/>
  <c r="B22" i="60"/>
  <c r="B21" i="60"/>
  <c r="B19" i="60"/>
  <c r="B17" i="60"/>
  <c r="B16" i="60"/>
  <c r="B14" i="60"/>
  <c r="K24" i="56"/>
  <c r="H10" i="77" l="1"/>
  <c r="H16" i="77" s="1"/>
  <c r="E9" i="77"/>
  <c r="E10" i="77" s="1"/>
  <c r="E16" i="77" s="1"/>
  <c r="H24" i="66" l="1"/>
  <c r="H16" i="66"/>
  <c r="H28" i="66" s="1"/>
  <c r="G12" i="66"/>
  <c r="G8" i="66"/>
  <c r="F28" i="66"/>
  <c r="E28" i="66"/>
  <c r="D28" i="66"/>
  <c r="G24" i="66"/>
  <c r="G18" i="66"/>
  <c r="G17" i="66"/>
  <c r="G16" i="66"/>
  <c r="F12" i="67"/>
  <c r="K13" i="67"/>
  <c r="K11" i="67"/>
  <c r="K14" i="67" s="1"/>
  <c r="I8" i="67"/>
  <c r="J9" i="67" s="1"/>
  <c r="K10" i="67" s="1"/>
  <c r="E124" i="61" l="1"/>
  <c r="E239" i="61"/>
  <c r="H70" i="65"/>
  <c r="F70" i="65"/>
  <c r="E70" i="65"/>
  <c r="D70" i="65"/>
  <c r="G69" i="65"/>
  <c r="G65" i="65"/>
  <c r="G63" i="65"/>
  <c r="G62" i="65"/>
  <c r="G61" i="65"/>
  <c r="G57" i="65"/>
  <c r="G53" i="65"/>
  <c r="G46" i="65"/>
  <c r="G44" i="65"/>
  <c r="G43" i="65"/>
  <c r="G42" i="65"/>
  <c r="G41" i="65"/>
  <c r="G40" i="65"/>
  <c r="G39" i="65"/>
  <c r="G38" i="65"/>
  <c r="G37" i="65"/>
  <c r="G36" i="65"/>
  <c r="G35" i="65"/>
  <c r="G34" i="65"/>
  <c r="G33" i="65"/>
  <c r="G32" i="65"/>
  <c r="G31" i="65"/>
  <c r="G30" i="65"/>
  <c r="G19" i="66"/>
  <c r="G14" i="66"/>
  <c r="G13" i="66"/>
  <c r="G28" i="66" s="1"/>
  <c r="H25" i="65"/>
  <c r="F25" i="65"/>
  <c r="E25" i="65"/>
  <c r="D25" i="65"/>
  <c r="G19" i="65"/>
  <c r="G16" i="65"/>
  <c r="G15" i="65"/>
  <c r="G14" i="65"/>
  <c r="G10" i="65"/>
  <c r="G9" i="65"/>
  <c r="G8" i="65"/>
  <c r="G21" i="27"/>
  <c r="J21" i="27"/>
  <c r="K14" i="27"/>
  <c r="J10" i="27"/>
  <c r="I8" i="27"/>
  <c r="J9" i="27" s="1"/>
  <c r="H14" i="27"/>
  <c r="F8" i="27"/>
  <c r="G9" i="27" s="1"/>
  <c r="H11" i="27" s="1"/>
  <c r="H12" i="27" s="1"/>
  <c r="G175" i="64"/>
  <c r="G164" i="64"/>
  <c r="G151" i="64"/>
  <c r="G72" i="64"/>
  <c r="G52" i="64"/>
  <c r="I29" i="64"/>
  <c r="I53" i="64" s="1"/>
  <c r="G29" i="64"/>
  <c r="G70" i="65" l="1"/>
  <c r="G25" i="65"/>
  <c r="H15" i="27"/>
  <c r="G23" i="27" s="1"/>
  <c r="G24" i="27" s="1"/>
  <c r="K10" i="27"/>
  <c r="K12" i="27" s="1"/>
  <c r="K15" i="27" s="1"/>
  <c r="J23" i="27" s="1"/>
  <c r="J24" i="27" s="1"/>
  <c r="E43" i="63" l="1"/>
  <c r="F15" i="63"/>
  <c r="D15" i="63"/>
  <c r="I18" i="62" l="1"/>
  <c r="I11" i="62"/>
  <c r="E23" i="43" l="1"/>
  <c r="E24" i="43"/>
  <c r="B22" i="43"/>
  <c r="B21" i="43"/>
  <c r="B20" i="43"/>
  <c r="B19" i="43"/>
  <c r="B17" i="43"/>
  <c r="B15" i="43"/>
  <c r="B14" i="43"/>
  <c r="B12" i="43"/>
  <c r="G11" i="43"/>
  <c r="G10" i="43"/>
  <c r="G9" i="43"/>
  <c r="G8" i="43"/>
  <c r="F27" i="60"/>
  <c r="F13" i="60"/>
  <c r="F12" i="60"/>
  <c r="F11" i="60"/>
  <c r="F10" i="60"/>
  <c r="E13" i="60"/>
  <c r="E12" i="60"/>
  <c r="E11" i="60"/>
  <c r="E10" i="60"/>
  <c r="C27" i="60" l="1"/>
  <c r="D17" i="57" l="1"/>
  <c r="D47" i="57"/>
  <c r="D101" i="58"/>
  <c r="D100" i="58"/>
  <c r="D90" i="58"/>
  <c r="C85" i="58"/>
  <c r="D83" i="58"/>
  <c r="D82" i="58"/>
  <c r="D81" i="58"/>
  <c r="D78" i="58"/>
  <c r="D77" i="58"/>
  <c r="D76" i="58"/>
  <c r="D75" i="58"/>
  <c r="D68" i="58"/>
  <c r="D67" i="58"/>
  <c r="D66" i="58"/>
  <c r="D65" i="58"/>
  <c r="D85" i="58" s="1"/>
  <c r="C60" i="58"/>
  <c r="C86" i="58" s="1"/>
  <c r="D58" i="58"/>
  <c r="D57" i="58"/>
  <c r="D56" i="58"/>
  <c r="D55" i="58"/>
  <c r="D53" i="58"/>
  <c r="D52" i="58"/>
  <c r="D51" i="58"/>
  <c r="D50" i="58"/>
  <c r="D60" i="58" s="1"/>
  <c r="D46" i="58"/>
  <c r="C46" i="58"/>
  <c r="F45" i="58"/>
  <c r="C43" i="58"/>
  <c r="D42" i="58"/>
  <c r="D41" i="58"/>
  <c r="D43" i="58" s="1"/>
  <c r="C33" i="58"/>
  <c r="D32" i="58"/>
  <c r="D33" i="58" s="1"/>
  <c r="C30" i="58"/>
  <c r="F29" i="58"/>
  <c r="F28" i="58"/>
  <c r="D28" i="58"/>
  <c r="D30" i="58" s="1"/>
  <c r="C26" i="58"/>
  <c r="F25" i="58"/>
  <c r="F24" i="58"/>
  <c r="D24" i="58"/>
  <c r="D23" i="58"/>
  <c r="F22" i="58"/>
  <c r="D22" i="58"/>
  <c r="D21" i="58"/>
  <c r="F21" i="58" s="1"/>
  <c r="F20" i="58"/>
  <c r="D20" i="58"/>
  <c r="D19" i="58"/>
  <c r="D18" i="58"/>
  <c r="F18" i="58" s="1"/>
  <c r="F16" i="58"/>
  <c r="D16" i="58"/>
  <c r="D15" i="58"/>
  <c r="F15" i="58" s="1"/>
  <c r="D14" i="58"/>
  <c r="D26" i="58" s="1"/>
  <c r="C12" i="58"/>
  <c r="F11" i="58"/>
  <c r="D11" i="58"/>
  <c r="D10" i="58"/>
  <c r="F10" i="58" s="1"/>
  <c r="F9" i="58"/>
  <c r="D9" i="58"/>
  <c r="D12" i="58" s="1"/>
  <c r="D47" i="58" l="1"/>
  <c r="D61" i="58" s="1"/>
  <c r="D86" i="58" s="1"/>
  <c r="F32" i="58"/>
  <c r="D18" i="20" l="1"/>
  <c r="D17" i="20"/>
  <c r="D16" i="20"/>
  <c r="C14" i="20"/>
  <c r="C12" i="20"/>
  <c r="C11" i="20"/>
  <c r="C10" i="20"/>
  <c r="C9" i="20"/>
  <c r="C8" i="20"/>
  <c r="C7" i="20"/>
  <c r="C6" i="20"/>
  <c r="C19" i="20" s="1"/>
  <c r="D41" i="57"/>
  <c r="D46" i="57" s="1"/>
  <c r="D49" i="57" s="1"/>
  <c r="D40" i="57"/>
  <c r="D9" i="57"/>
  <c r="D8" i="57"/>
  <c r="F8" i="57" s="1"/>
  <c r="K54" i="56"/>
  <c r="K53" i="56"/>
  <c r="K55" i="56" s="1"/>
  <c r="K44" i="56"/>
  <c r="K41" i="56"/>
  <c r="K46" i="56" s="1"/>
  <c r="K51" i="56" s="1"/>
  <c r="K56" i="56" s="1"/>
  <c r="K14" i="56"/>
  <c r="K15" i="56"/>
  <c r="K13" i="56"/>
  <c r="K9" i="56"/>
  <c r="D97" i="66"/>
  <c r="G18" i="62"/>
  <c r="F15" i="57"/>
  <c r="H11" i="67"/>
  <c r="H13" i="67"/>
  <c r="F8" i="67"/>
  <c r="G9" i="67" s="1"/>
  <c r="H10" i="67"/>
  <c r="H97" i="66"/>
  <c r="F97" i="66"/>
  <c r="E97" i="66"/>
  <c r="G95" i="66"/>
  <c r="G94" i="66"/>
  <c r="G93" i="66"/>
  <c r="G92" i="66"/>
  <c r="G91" i="66"/>
  <c r="G90" i="66"/>
  <c r="G89" i="66"/>
  <c r="G88" i="66"/>
  <c r="G87" i="66"/>
  <c r="G86" i="66"/>
  <c r="G85" i="66"/>
  <c r="G77" i="66"/>
  <c r="G72" i="66"/>
  <c r="G68" i="66"/>
  <c r="G64" i="66"/>
  <c r="G53" i="66"/>
  <c r="G52" i="66"/>
  <c r="G51" i="66"/>
  <c r="G50" i="66"/>
  <c r="G49" i="66"/>
  <c r="G45" i="66"/>
  <c r="G11" i="62"/>
  <c r="E8" i="43"/>
  <c r="E14" i="43"/>
  <c r="E27" i="60"/>
  <c r="D27" i="43"/>
  <c r="I29" i="43"/>
  <c r="I23" i="43"/>
  <c r="C27" i="43"/>
  <c r="D19" i="20"/>
  <c r="H19" i="57"/>
  <c r="F41" i="57"/>
  <c r="D48" i="57"/>
  <c r="F44" i="57"/>
  <c r="F43" i="57"/>
  <c r="D18" i="57"/>
  <c r="F10" i="57"/>
  <c r="F14" i="57"/>
  <c r="F13" i="57"/>
  <c r="F12" i="57"/>
  <c r="F11" i="57"/>
  <c r="D16" i="57"/>
  <c r="D19" i="57" s="1"/>
  <c r="F9" i="57"/>
  <c r="C46" i="57"/>
  <c r="F45" i="57"/>
  <c r="F42" i="57"/>
  <c r="F39" i="57"/>
  <c r="F38" i="57"/>
  <c r="F37" i="57"/>
  <c r="F36" i="57"/>
  <c r="C16" i="57"/>
  <c r="I44" i="56"/>
  <c r="I41" i="56"/>
  <c r="I46" i="56" s="1"/>
  <c r="I51" i="56" s="1"/>
  <c r="I15" i="56"/>
  <c r="I13" i="56"/>
  <c r="I9" i="56"/>
  <c r="I55" i="56"/>
  <c r="I50" i="56"/>
  <c r="E22" i="43"/>
  <c r="E18" i="43"/>
  <c r="E11" i="49"/>
  <c r="E10" i="49"/>
  <c r="E9" i="49"/>
  <c r="E13" i="49" s="1"/>
  <c r="B27" i="43"/>
  <c r="E9" i="43"/>
  <c r="E12" i="43"/>
  <c r="E13" i="43"/>
  <c r="E15" i="43"/>
  <c r="E17" i="43"/>
  <c r="E19" i="43"/>
  <c r="E20" i="43"/>
  <c r="E21" i="43"/>
  <c r="F40" i="57"/>
  <c r="F46" i="57" s="1"/>
  <c r="G27" i="43"/>
  <c r="G97" i="66" l="1"/>
  <c r="H14" i="67"/>
  <c r="E16" i="43"/>
  <c r="E27" i="43" s="1"/>
  <c r="F16" i="57"/>
  <c r="I56" i="56"/>
  <c r="I18" i="56"/>
  <c r="I24" i="56" s="1"/>
  <c r="D50" i="57"/>
  <c r="K18" i="56"/>
</calcChain>
</file>

<file path=xl/sharedStrings.xml><?xml version="1.0" encoding="utf-8"?>
<sst xmlns="http://schemas.openxmlformats.org/spreadsheetml/2006/main" count="1887" uniqueCount="849">
  <si>
    <t>รายการ</t>
  </si>
  <si>
    <t>รหัสบัญชี</t>
  </si>
  <si>
    <t>เครดิต</t>
  </si>
  <si>
    <t xml:space="preserve"> -</t>
  </si>
  <si>
    <t>ชื่อบัญชี</t>
  </si>
  <si>
    <t>เดบิต</t>
  </si>
  <si>
    <t>-</t>
  </si>
  <si>
    <t>ค่าใช้สอย</t>
  </si>
  <si>
    <t>ค่าวัสดุ</t>
  </si>
  <si>
    <t>เงินอุดหนุน</t>
  </si>
  <si>
    <t>ค่าครุภัณฑ์</t>
  </si>
  <si>
    <t>เงินสะสม</t>
  </si>
  <si>
    <t>เงินทุนสำรองเงินสะสม</t>
  </si>
  <si>
    <t xml:space="preserve"> </t>
  </si>
  <si>
    <t>รวม</t>
  </si>
  <si>
    <t>จำนวนเงิน</t>
  </si>
  <si>
    <t>รายจ่ายตามงบประมาณ</t>
  </si>
  <si>
    <t>สูง</t>
  </si>
  <si>
    <t>ต่ำ</t>
  </si>
  <si>
    <t>รายรับ</t>
  </si>
  <si>
    <t>รายจ่าย</t>
  </si>
  <si>
    <t>งบกลาง</t>
  </si>
  <si>
    <t>+</t>
  </si>
  <si>
    <t>ประเภททรัพย์สิน</t>
  </si>
  <si>
    <t>จำนวน</t>
  </si>
  <si>
    <t>สังหาริมทรัพย์</t>
  </si>
  <si>
    <t>คงเหลือ</t>
  </si>
  <si>
    <t>หัก</t>
  </si>
  <si>
    <t>บาท</t>
  </si>
  <si>
    <t>รวมเป็นเงินทั้งสิ้น</t>
  </si>
  <si>
    <t>เบิกจ่ายแล้ว</t>
  </si>
  <si>
    <t>ก่อหนี้ผูกพัน</t>
  </si>
  <si>
    <t>บวก</t>
  </si>
  <si>
    <t>หมายเหตุ</t>
  </si>
  <si>
    <t xml:space="preserve">  อ </t>
  </si>
  <si>
    <t xml:space="preserve">                                                                </t>
  </si>
  <si>
    <t>ยังไม่ได้</t>
  </si>
  <si>
    <t>ก่อหนี้</t>
  </si>
  <si>
    <t>หมวดรายได้จากทรัพย์สิน</t>
  </si>
  <si>
    <t>รวมรับจริง</t>
  </si>
  <si>
    <t>ยอดยกมา</t>
  </si>
  <si>
    <t>เงินค่าใช้จ่าย ภบท. 5%</t>
  </si>
  <si>
    <t>เงินรับฝาก - ส่วนลด 6 %</t>
  </si>
  <si>
    <t>ภาษี หัก  ณ  ที่จ่าย</t>
  </si>
  <si>
    <t>จ่ายจาก</t>
  </si>
  <si>
    <t>ครุภัณฑ์</t>
  </si>
  <si>
    <t>ประมาณการ</t>
  </si>
  <si>
    <t>สูงกว่า</t>
  </si>
  <si>
    <t>(ต่ำกว่า)</t>
  </si>
  <si>
    <t>ยอดยกไป</t>
  </si>
  <si>
    <t>เทศบาลตำบลปากน้ำฉวาง</t>
  </si>
  <si>
    <t>เทศบาลตำบลปากน้ำฉวาง  อำเภอฉวาง  จังหวัดนครศรีธรรมราช</t>
  </si>
  <si>
    <t>งบแสดงฐานะการเงิน</t>
  </si>
  <si>
    <t>เทศบาลตำบลปากน้ำฉวาง อ.ฉวาง จ.นครศรีธรรมราช</t>
  </si>
  <si>
    <t>งวดหน้า</t>
  </si>
  <si>
    <t>ชื่อ</t>
  </si>
  <si>
    <t>ก. อสังหาริมทรัพย์</t>
  </si>
  <si>
    <t xml:space="preserve">  1.  ที่ดิน</t>
  </si>
  <si>
    <t>ก. รายได้ของเทศบาล</t>
  </si>
  <si>
    <t xml:space="preserve">  2.  อาคารสำนักงาน</t>
  </si>
  <si>
    <t xml:space="preserve">  3.  สิ่งก่อสร้างอื่น ๆ</t>
  </si>
  <si>
    <t>ข. สังหาริมทรัพย์</t>
  </si>
  <si>
    <t xml:space="preserve">  6. ครุภัณฑ์การเกษตร</t>
  </si>
  <si>
    <t xml:space="preserve">  2. ครุภัณฑ์ทั่วไป</t>
  </si>
  <si>
    <t xml:space="preserve">  4. ครุภัณฑ์งานบ้านงานครัว</t>
  </si>
  <si>
    <t xml:space="preserve">  1. ครุภัณฑ์คมนาคม</t>
  </si>
  <si>
    <t>รับจริงสูงกว่าจ่ายจริง</t>
  </si>
  <si>
    <t xml:space="preserve">      (นายสง่าชัย  หนูเนียม)</t>
  </si>
  <si>
    <t xml:space="preserve">       (นายบุญธรรม  รุ่งเรือง)</t>
  </si>
  <si>
    <t>ปลัดเทศบาล รักษาราชการแทน</t>
  </si>
  <si>
    <t>นายกเทศมนตรีตำบลปากน้ำฉวาง</t>
  </si>
  <si>
    <t>ผู้อำนวยการกองคลัง</t>
  </si>
  <si>
    <t>(นายสง่าชัย  หนูเนียม)</t>
  </si>
  <si>
    <t xml:space="preserve">   ปลัดเทศบาลตำบล</t>
  </si>
  <si>
    <t>ค. จ่ายขาดเงินสะสม</t>
  </si>
  <si>
    <t>ข. เงินอุดหนุนรัฐบาล</t>
  </si>
  <si>
    <t xml:space="preserve">  5. ครุภัณฑ์สาธารณะ</t>
  </si>
  <si>
    <t xml:space="preserve"> 10. ครุภัณฑ์การศึกษา</t>
  </si>
  <si>
    <t xml:space="preserve"> 11. ครุภัณฑ์โฆษณาและเผยแพร่</t>
  </si>
  <si>
    <t xml:space="preserve">      ผู้อำนวยการกองคลัง</t>
  </si>
  <si>
    <t>อำเภอฉวาง  จังหวัดนครศรีธรรมราช</t>
  </si>
  <si>
    <t>หมวดภาษีอากร</t>
  </si>
  <si>
    <t>1)  ภาษีโรงเรือนและที่ดิน</t>
  </si>
  <si>
    <t>2)  ภาษีบำรุงท้องที่</t>
  </si>
  <si>
    <t>3)  ภาษีป้าย</t>
  </si>
  <si>
    <t>หมวดค่าธรรมเนียม  ค่าปรับและใบอนุญาต</t>
  </si>
  <si>
    <t>1)  ดอกเบี้ยเงินฝากธนาคาร</t>
  </si>
  <si>
    <t>หมวดรายได้จากสาธารณูปโภคและการพาณิชย์</t>
  </si>
  <si>
    <t>หมวดรายได้เบ็ดเตล็ด</t>
  </si>
  <si>
    <t>รวมรายรับจริง</t>
  </si>
  <si>
    <t>หมวดภาษีจัดสรร</t>
  </si>
  <si>
    <t>1) ภาษีและค่าธรรมเนียมรถยนต์หรือล้อเลื่อน</t>
  </si>
  <si>
    <t>4) ภาษีธุรกิจเฉพาะ</t>
  </si>
  <si>
    <t>5) ภาษีสุรา</t>
  </si>
  <si>
    <t>6) ภาษีสรรพสามิต</t>
  </si>
  <si>
    <t>รวมรายรับจริงและเงินที่รัฐบาลจัดสรร</t>
  </si>
  <si>
    <t>รวมรายรับจริง,เงินที่รัฐบาลจัดสรรและเงินอุดหนุน</t>
  </si>
  <si>
    <t>รวมรายรับทั้งหมด</t>
  </si>
  <si>
    <t>ครุภัณฑ์สำนักงาน</t>
  </si>
  <si>
    <t>งบประมาณ</t>
  </si>
  <si>
    <t>หมวดเงินอุดหนุนทั่วไป</t>
  </si>
  <si>
    <t>รวมเงินอุดหนุนทั่วไป</t>
  </si>
  <si>
    <t>เจ้าหนี้เงินสะสม</t>
  </si>
  <si>
    <t>หมวดรายได้จากทุน</t>
  </si>
  <si>
    <t>7) ค่าภาคหลวงแร่</t>
  </si>
  <si>
    <t>รายรับจริงสูงกว่ารายจ่ายจริงหลังหักเงินทุนสำรองเงินสะสม</t>
  </si>
  <si>
    <t>รายได้จากรัฐบาลค้างรับ</t>
  </si>
  <si>
    <t>หมายเหตุประกอบงบแสดงฐานะการเงิน</t>
  </si>
  <si>
    <t>ข้อมูลทั่วไป</t>
  </si>
  <si>
    <t>เทศบาลตำบลปากน้ำฉวาง  ได้รับการจัดตั้งเป็นเทศบาลตำบลตามประกาศกระทรวงมหาดไทย</t>
  </si>
  <si>
    <t>เรื่อง  เปลี่ยนชื่อองค์การบริหารส่วนตำบลฉวาง อำเภอฉวาง จังหวัดนครศรีธรรมราช เป็นองค์การบริหารส่วน-</t>
  </si>
  <si>
    <t xml:space="preserve">ตำบลปากน้ำฉวาง และจัดตั้งเป็นเทศบาลตำบลปากน้ำฉวาง เมื่อวันที่ 22 พฤษภาคม 2556  สำนักงานตั้งอยู่ </t>
  </si>
  <si>
    <t>ณ เลขที่ 211 หมู่ที่ 7 ถนนแหลมยูง-วังม่วง ตำบลฉวาง อำเภอฉวาง จังหวัดนครศรีธรรมราช ห่างจาก</t>
  </si>
  <si>
    <t>อำเภอฉวาง ประมาณ 4 กิโลเมตร และห่างจากอำเภอเมือง ประมาณ 75 กิโลเมตร ตามทางหลวงท้องถิ่น</t>
  </si>
  <si>
    <t>หมายเลข นศ.ถ 76-001 มีพื้นที่ 27 ตารางกิโลเมตร หรือประมาณ 16,875 ไร่ มีพื้นที่ครอบคลุมพื้นที่บางส่วน</t>
  </si>
  <si>
    <t>ประกอบด้วย 6 หมู่บ้าน คือ หมู่ที่ 3 - หมู่ที่ 8</t>
  </si>
  <si>
    <t>อาณาเขตติดต่อ</t>
  </si>
  <si>
    <t>ทิศเหนือ</t>
  </si>
  <si>
    <t>ติดต่อกับตำบลไม้เรียง  อำเภอฉวาง  จังหวัดนครศรีธรรมราช</t>
  </si>
  <si>
    <t>ทิศตะวันออก</t>
  </si>
  <si>
    <t>ติดต่อกับตำบลไสหร้า  และตำบลจันดี  อำเภอฉวาง  จังหวัดนครศรีธรรมราช</t>
  </si>
  <si>
    <t>ทิศใต้</t>
  </si>
  <si>
    <t>ติดต่อกับตำบลทุ่งสง  อำเภอนาบอน, ตำบลหลักช้าง อำเภอช้างกลาง จังหวัดนครครีธรรมราช</t>
  </si>
  <si>
    <t>ทิศตะวันตก</t>
  </si>
  <si>
    <t>ติดต่อกับตำบลนากะชะ  อำเภอฉวาง, ตำบลทุ่งใหญ่ อำเภอทุ่งใหญ่ จังหวัดนครศรีธรรมราช</t>
  </si>
  <si>
    <r>
      <rPr>
        <b/>
        <sz val="16"/>
        <rFont val="TH SarabunPSK"/>
        <family val="2"/>
      </rPr>
      <t>ลักษณะภูมิประเทศ</t>
    </r>
    <r>
      <rPr>
        <sz val="16"/>
        <rFont val="TH SarabunPSK"/>
        <family val="2"/>
      </rPr>
      <t xml:space="preserve">  สภาพทั่วไปของพื้นที่ส่วนใหญ่เป็นที่ราบลุ่มใกล้แม่น้ำ และที่ราบสูงบางส่วน มีแม่น้ำ</t>
    </r>
  </si>
  <si>
    <t>สายหลักไหลผ่าน คือ แม่น้ำตาปี และลำคลองอีก 2 แห่ง คือ คลองคุดด้วน และคลองมีน ลักษณะของดินบริเวณ</t>
  </si>
  <si>
    <t>เทศบาลเป็นดินเนื้อละเอียด มีอินทรีย์วัตถุน้อย เหมาะสำหรับการเพาะปลูก ลักษณะของดินเป็นดินเนื้อหยาย</t>
  </si>
  <si>
    <t>มีอินทรีย์วัตถุน้อยเหมาะสำหรับการปลูกไม้ยืนต้น</t>
  </si>
  <si>
    <r>
      <rPr>
        <b/>
        <sz val="16"/>
        <rFont val="TH SarabunPSK"/>
        <family val="2"/>
      </rPr>
      <t xml:space="preserve">ฝ่ายบริหาร </t>
    </r>
    <r>
      <rPr>
        <sz val="16"/>
        <rFont val="TH SarabunPSK"/>
        <family val="2"/>
      </rPr>
      <t xml:space="preserve"> จำนวน  5  คน  ประกอบด้วย  นายกเทศมนตรี  1  คน  รองนายกเทศมนตรี  2  คน</t>
    </r>
  </si>
  <si>
    <t>เลขานุการนายกเทศมนตรี  1  คน  และที่ปรึกษานายกเทศมนตรี  1  คน</t>
  </si>
  <si>
    <r>
      <rPr>
        <b/>
        <sz val="16"/>
        <rFont val="TH SarabunPSK"/>
        <family val="2"/>
      </rPr>
      <t xml:space="preserve">ฝ่ายนิติบัญญัติ </t>
    </r>
    <r>
      <rPr>
        <sz val="16"/>
        <rFont val="TH SarabunPSK"/>
        <family val="2"/>
      </rPr>
      <t xml:space="preserve"> จำนวน  12  คน  ประกอบด้วย  ประธานสภาเทศบาล 1 คน  รองประธานสภาเทศบาล 1 คน</t>
    </r>
  </si>
  <si>
    <t>และสมาชิกสภาเทศบาล  10  คน</t>
  </si>
  <si>
    <t>หมายเหตุ 1  สรุปนโยบายการบัญชีที่สำคัญ</t>
  </si>
  <si>
    <t>1.1  หลักเกณฑ์ในการจัดทำงบแสดงฐานะการเงิน</t>
  </si>
  <si>
    <t>การบันทึกบัญชีเพื่อจัดทำงบแสดงฐานะการเงินเป็นไปตามเกณฑ์เงินสดและเกณฑ์คงค้าง</t>
  </si>
  <si>
    <t>ตามประกาศกระทรวงมหาดไทย เรื่อง หลักเกณฑ์และวิธีปฏิบัติการบันทึกบัญชี การจัดทำทะเบียน และรายงาน</t>
  </si>
  <si>
    <t>การเงินขององค์กรปกครองส่วนท้องถิ่น  เมื่อวันที่  20  มีนาคม  2558  และหนังสือสั่งการที่เกี่ยวข้อง</t>
  </si>
  <si>
    <t>ที่</t>
  </si>
  <si>
    <t>ชื่อ-นามสกุล</t>
  </si>
  <si>
    <t>จำนวนเงินที่ค้างชำระ</t>
  </si>
  <si>
    <t>จำนวนเงินที่ชำระแล้ว</t>
  </si>
  <si>
    <t xml:space="preserve">เทศบาลตำบลปากน้ำฉวาง  </t>
  </si>
  <si>
    <t>อบต. ไสหร้า</t>
  </si>
  <si>
    <t>ประเภทรายได้  ค่าธรรมเนียมกำจัดขยะมูลฝอย</t>
  </si>
  <si>
    <t>วัน เดือน ปี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</si>
  <si>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</si>
  <si>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</si>
  <si>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</si>
  <si>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</si>
  <si>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เงินฝาก ก.ส.อ.</t>
  </si>
  <si>
    <t>เงินฝาก ก.ส.ท.</t>
  </si>
  <si>
    <t>ลูกหนี้เงินยืม</t>
  </si>
  <si>
    <t>ลูกหนี้ค่าภาษี</t>
  </si>
  <si>
    <t>ลูกหนี้รายได้อื่นๆ</t>
  </si>
  <si>
    <t>ลูกหนี้เงินทุนโครงการเศรษฐกิจชุมชน</t>
  </si>
  <si>
    <t>ลูกหนี้เงินยืมเงินสะสม</t>
  </si>
  <si>
    <t>รวมสินทรัพย์หมุนเวียน</t>
  </si>
  <si>
    <t>สินทรัพย์ไม่หมุนเวียน</t>
  </si>
  <si>
    <t>หุ้นในโรงพิมพ์อาสารักษาดินแดน</t>
  </si>
  <si>
    <t>ทรัพย์สินเกิดจากเงินกู้</t>
  </si>
  <si>
    <t>รวมสินทรัพย์ไม่หมุนเวียน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</si>
  <si>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</si>
  <si>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</si>
  <si>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ทุนทรัพย์สิน</t>
  </si>
  <si>
    <t>หนี้สิน</t>
  </si>
  <si>
    <t>หนี้สินหมุนเวียน</t>
  </si>
  <si>
    <t xml:space="preserve">รายจ่ายค้างจ่าย </t>
  </si>
  <si>
    <t>รายจ่ายผัดส่งใบสำคัญ</t>
  </si>
  <si>
    <t xml:space="preserve">เงินรับฝาก 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</si>
  <si>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</si>
  <si>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</si>
  <si>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</si>
  <si>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เจ้าหนี้เงินกู้</t>
  </si>
  <si>
    <t>หนี้สินไม่หมุนเวียนอื่น</t>
  </si>
  <si>
    <t>รวมหนี้สินไม่หมุนเวียน</t>
  </si>
  <si>
    <t xml:space="preserve">รวมหนี้สิน  </t>
  </si>
  <si>
    <t>รวมเงินสะสม</t>
  </si>
  <si>
    <t>รวมหนี้สินและเงินสะสม</t>
  </si>
  <si>
    <t>เทศบาลตำบลปากน้ำฉวาง อำเภอฉวาง จังหวัดนครศรีธรรมราช</t>
  </si>
  <si>
    <t xml:space="preserve">    (นายสง่าชัย  หนูเนียม)</t>
  </si>
  <si>
    <t>(นายบุญธรรม  รุ่งเรือง)</t>
  </si>
  <si>
    <t xml:space="preserve">   (ลงชื่อ)..............................................</t>
  </si>
  <si>
    <t xml:space="preserve">        (ลงชื่อ)................................................</t>
  </si>
  <si>
    <t>หลังปิด</t>
  </si>
  <si>
    <t xml:space="preserve"> +</t>
  </si>
  <si>
    <t xml:space="preserve">รายรับ </t>
  </si>
  <si>
    <t>รวมเงินงบประมาณรายรับทั้งสิ้น</t>
  </si>
  <si>
    <t>รวมรายรับทั้งสิ้น</t>
  </si>
  <si>
    <t xml:space="preserve"> - </t>
  </si>
  <si>
    <t>รายจ่ายตามประมาณการรายจ่ายทั้งสิ้น</t>
  </si>
  <si>
    <t>รวมรายจ่ายทั้งสิ้น</t>
  </si>
  <si>
    <t>รายรับ              รายจ่าย</t>
  </si>
  <si>
    <t>เงินอุดหนุนเฉพาะกิจที่กรมส่งเสริมการปกครองท้องถิ่นจัดสรร</t>
  </si>
  <si>
    <t>รวมเงินอุดหนุนเฉพาะกิจที่กรมส่งเสริมการปกครองจัดสรร</t>
  </si>
  <si>
    <t>รายจ่ายที่จ่ายจากเงินอุดหนุนเฉพาะกิจที่กรมส่งเสริมการปกครองท้องถิ่นจัดสรร</t>
  </si>
  <si>
    <t>รวมเงินอุดหนุนเฉพาะกิจที่กรมส่งเสริมการปกครองท้องถิ่นจัดสรร</t>
  </si>
  <si>
    <t>รับจริง</t>
  </si>
  <si>
    <t>ลูกหนี้ภาษีโรงเรือน/ที่ดิน</t>
  </si>
  <si>
    <t>ลูกหนี้ค่าธรรมเนียมจำกัดขยะมูลฝอย</t>
  </si>
  <si>
    <t>รวมรับจริงทั้งสิ้นปี 60</t>
  </si>
  <si>
    <t>11012001</t>
  </si>
  <si>
    <t>11032000</t>
  </si>
  <si>
    <t>11042000</t>
  </si>
  <si>
    <t>11043001</t>
  </si>
  <si>
    <t>11044000</t>
  </si>
  <si>
    <t>21010000</t>
  </si>
  <si>
    <t>21040000</t>
  </si>
  <si>
    <t>31000000</t>
  </si>
  <si>
    <t>32000000</t>
  </si>
  <si>
    <t>หมายเหตุ 1</t>
  </si>
  <si>
    <r>
      <t>ร</t>
    </r>
    <r>
      <rPr>
        <b/>
        <u/>
        <sz val="16"/>
        <rFont val="TH SarabunPSK"/>
        <family val="2"/>
      </rPr>
      <t>ายได้จัดเก็บเอง</t>
    </r>
  </si>
  <si>
    <t>41100000</t>
  </si>
  <si>
    <t>41100001</t>
  </si>
  <si>
    <t>41100002</t>
  </si>
  <si>
    <t>41100003</t>
  </si>
  <si>
    <t>41210008</t>
  </si>
  <si>
    <t>41210029</t>
  </si>
  <si>
    <t>41210007</t>
  </si>
  <si>
    <t>4) ค่าธรรมเนียมตามประมวลกฎหมายที่ดินมาตรา 9</t>
  </si>
  <si>
    <t>41210018</t>
  </si>
  <si>
    <t>41210004</t>
  </si>
  <si>
    <t>6) ค่าธรรมเนียมกำจัดขยะมูลฝอย</t>
  </si>
  <si>
    <t>41210030</t>
  </si>
  <si>
    <t>7) ค่าธรรมเนียมอื่นๆ</t>
  </si>
  <si>
    <t>8) ค่าปรับผู้กระทำผิดกฎหมายจราจรทางบก</t>
  </si>
  <si>
    <t>41220002</t>
  </si>
  <si>
    <t>9) ค่าปรับผู้กระทำผิดกฎหมายและข้อบังคับท้องถิ่น</t>
  </si>
  <si>
    <t>10) ค่าปรับการผิดสัญญา</t>
  </si>
  <si>
    <t>11) ค่าใบอนุญาตเกี่ยวกับการควบคุมอาคาร</t>
  </si>
  <si>
    <t>41230007</t>
  </si>
  <si>
    <t xml:space="preserve">12) ค่าใบอนุญาตอื่น ๆ </t>
  </si>
  <si>
    <t>41239999</t>
  </si>
  <si>
    <t>2)  รายได้จากทรัพย์สินอื่น ๆ</t>
  </si>
  <si>
    <t>41399999</t>
  </si>
  <si>
    <t>1) รายได้จากสาธารณูปโภคและการพาณิชย์</t>
  </si>
  <si>
    <t>หน้าที่ 2</t>
  </si>
  <si>
    <t>41500004</t>
  </si>
  <si>
    <t>41599999</t>
  </si>
  <si>
    <t>41500003</t>
  </si>
  <si>
    <t>4) ค่าตอบแทนหน่วยบริการแพทย์ฉุกเฉิน</t>
  </si>
  <si>
    <t>1) ค่าขายทอดตลาดทรัพย์สิน</t>
  </si>
  <si>
    <t>41600001</t>
  </si>
  <si>
    <t>3) ภาษีมูลค่าเพิ่มตามพรบ.จัดสรรรายได้ฯ</t>
  </si>
  <si>
    <t>8) ค่าภาคหลวงปิโตรเลียม</t>
  </si>
  <si>
    <t>9) ค่าธรรมเนียมจดทะเบียนสิทธิและนิติกรรมประมวลกฎหมายที่ดิน</t>
  </si>
  <si>
    <t>รายได้ที่รัฐบาลอุดหนุนให้องค์กรปกครองส่วนท้องถิ่น</t>
  </si>
  <si>
    <t>หน้าที่ 3</t>
  </si>
  <si>
    <t>11) เงินอุดหนุน - สวัสดิการช่วยเหลือการศึกษาบุตร</t>
  </si>
  <si>
    <t>หมวดเงินอุดหนุนเฉพาะกิจ</t>
  </si>
  <si>
    <t>รายรับตามงบประมาณ</t>
  </si>
  <si>
    <t>หมวดค่าธรรมเนียม ค่าปรับและใบอนุญาต</t>
  </si>
  <si>
    <t>หมวดงบกลาง</t>
  </si>
  <si>
    <t>หมวดเงินเดือน (ฝ่ายการเมือง)</t>
  </si>
  <si>
    <t>หมวดเงินเดือน (ฝ่ายประจำ)</t>
  </si>
  <si>
    <t>หมวดค่าตอบแทน</t>
  </si>
  <si>
    <t>หมวดค่าใช้สอย</t>
  </si>
  <si>
    <t>หมวดค่าวัสดุ</t>
  </si>
  <si>
    <t>หมวดค่าสาธารณูปโภค</t>
  </si>
  <si>
    <t>หมวดค่าครุภัณฑ์</t>
  </si>
  <si>
    <t>หมวดค่าที่ดินและสิ่งก่อสร้าง</t>
  </si>
  <si>
    <t>หมวดเงินอุดหนุน</t>
  </si>
  <si>
    <t>จำหน่ายรวม</t>
  </si>
  <si>
    <t>อุดหนุน อบจ.</t>
  </si>
  <si>
    <t>รายได้เทศบาล</t>
  </si>
  <si>
    <t>รวมรับ-จ่ายคงเหลือ</t>
  </si>
  <si>
    <t>ร้บ-จ่ายด้านขวา</t>
  </si>
  <si>
    <t>ผลต่าง</t>
  </si>
  <si>
    <t>หมายเหตุ 2 งบทรัพย์สิน</t>
  </si>
  <si>
    <t>ราคาทรัพย์สิน</t>
  </si>
  <si>
    <t>รับเพิ่มระหว่างปี</t>
  </si>
  <si>
    <t>จำหน่ายในปี</t>
  </si>
  <si>
    <t>(ลงชื่อ)................................................</t>
  </si>
  <si>
    <t>(ลงชื่อ).........................................</t>
  </si>
  <si>
    <t>(ลงชื่อ)..............................................</t>
  </si>
  <si>
    <t>(ลงชื่อ)...........................................</t>
  </si>
  <si>
    <t>รายละเอียดประกอบงบทรัพย์สิน</t>
  </si>
  <si>
    <t>(ลงชื่อ)..................................</t>
  </si>
  <si>
    <t>ปลัดเทศบาล</t>
  </si>
  <si>
    <t xml:space="preserve">  3. ครุภัณฑ์สำนักงาน</t>
  </si>
  <si>
    <t xml:space="preserve">  8. ครุภัณฑ์ส่วนโยธา</t>
  </si>
  <si>
    <t xml:space="preserve">  9. ครุภัณฑ์ไฟฟ้าและวิทยุ</t>
  </si>
  <si>
    <t>1. ตู้เหล็กเก็บเอกสาร 2 บานเปิด</t>
  </si>
  <si>
    <t>รวมเป็นเงิน</t>
  </si>
  <si>
    <t>ครุภัณฑ์โฆษณาและเผยแพร่</t>
  </si>
  <si>
    <t xml:space="preserve">รายละเอียดประกอบ  บัญชีเงินรับฝาก - ประกันสัญญา </t>
  </si>
  <si>
    <t>(ประเภท  เงินสด)</t>
  </si>
  <si>
    <t>ลำดับที่</t>
  </si>
  <si>
    <t>ชื่อ - สกุล</t>
  </si>
  <si>
    <t>รายการ / โครงการ</t>
  </si>
  <si>
    <t>ที่ครบกำหนด</t>
  </si>
  <si>
    <t>หจก.ควนชะลิกการโยธา</t>
  </si>
  <si>
    <t>โครงการก่อสร้างท่อเหลี่ยม คสล. ม. 4 ต.ฉวาง</t>
  </si>
  <si>
    <t>บร.007/58 เลขที่ 01</t>
  </si>
  <si>
    <t>ตามสัญญาจ้างเลขที่  2/2559  ลว. 13 ม.ค. 59</t>
  </si>
  <si>
    <t>ลว. 13 ม.ค. 59</t>
  </si>
  <si>
    <t>วงเงิน  342,000.-บาท  ประกัน 2 ปี</t>
  </si>
  <si>
    <t>หจก.ศักดิ์ชณา กรุ๊ป</t>
  </si>
  <si>
    <t>โครงการปรับปรุงถนน คสล.สายบบบ้านนางหลี-</t>
  </si>
  <si>
    <t>บร.007/58 เลขที่ 25</t>
  </si>
  <si>
    <t>บ้านนางนิตย์ หงษ์ทอง ม. 3 ตามบันทึกตกลงจ้าง</t>
  </si>
  <si>
    <t>ลว. 24 กพ. 59</t>
  </si>
  <si>
    <t>เลขที่ 29/2559 ลว. 24 กพ. 59 วงเงิน 81,000.-บาท</t>
  </si>
  <si>
    <t>ประกัน 2 ปี</t>
  </si>
  <si>
    <t>โครงการก่อสร้างถนนแอสฟัลท์ติกคอนกรีตสาย</t>
  </si>
  <si>
    <t>บร.007/58 เลขที่ 34</t>
  </si>
  <si>
    <t>สามแยกเกาะลังสาด-คอกช้าง ม.8 ต.ฉวาง อ.ฉวาง</t>
  </si>
  <si>
    <t>ลว. 7 มี.ค. 59</t>
  </si>
  <si>
    <t>ตามสัญญาจ้าง 6/2559 ลว. 7 มี.ค. 59  วงเงิน</t>
  </si>
  <si>
    <t>227,000.-บาท  ประกัน  2  ปี</t>
  </si>
  <si>
    <t>โครงการปรับปรุงถนน คสล.สายบ้านนางหลี-บ้านนาง</t>
  </si>
  <si>
    <t>บร.007/58 เลขที่ 33</t>
  </si>
  <si>
    <t>นิตย์ หงษ์ทอง ม. 3 ต.ฉวาง อ.ฉวาง จ.นครศรีฯ</t>
  </si>
  <si>
    <t>(ต่อจากที่ปรับปรุงเดิม) ตามสัญญาจ้างเลขที่ 7/2559</t>
  </si>
  <si>
    <t>ลว. 7 มี.ค. 59 วงเงิน 362,000.-บาท ประกัน 2 ปี</t>
  </si>
  <si>
    <t>หจก.แซนซันการโยธา</t>
  </si>
  <si>
    <t>ปรับปรุงผิวจราจรแอสฟัลท์ติกคอนกรีนสายวัดวังม่วง-</t>
  </si>
  <si>
    <t>บร. 007/58 เลขที่ 39</t>
  </si>
  <si>
    <t>บ้านแหลมยูง ม. 5,7 ตามสัญญาจ้างเลขที่ 10/2559</t>
  </si>
  <si>
    <t>ลว. 29 มี.ค. 59</t>
  </si>
  <si>
    <t>ลว. 29 มีค. 59 วงเงิน 1,049,600.-บาท</t>
  </si>
  <si>
    <t>หน้า  2</t>
  </si>
  <si>
    <t>โครงการปรับปรุงถนนแอสฟัลท์ติกคอนกรีตสาย</t>
  </si>
  <si>
    <t>บร.011/58 เลขที่ 08</t>
  </si>
  <si>
    <t>วังม่วง-แหลมยูง ม.7 ตามสัญญาจ้างเลขที่</t>
  </si>
  <si>
    <t>ลว. 29 ส.ค. 59</t>
  </si>
  <si>
    <t>13/2559  ลว. 29 ส.ค. 59  วงเงิน 170,000.-บาท</t>
  </si>
  <si>
    <t>ประกัน  2  ปี</t>
  </si>
  <si>
    <t>บริษัท เอส.พี.ซี. 2009 จำกัด</t>
  </si>
  <si>
    <t>โครงการเทพื้น คสล.บริเวณบ่อขยะ ม. 8 ตามสัญญา</t>
  </si>
  <si>
    <t>บร.011/58 เลขที่ 18</t>
  </si>
  <si>
    <t>จ้างเลขที่  14/2559  ลว. 21 ก.ย. 59 วงเงิน</t>
  </si>
  <si>
    <t>ลว. 21 ก.ย. 59</t>
  </si>
  <si>
    <t>495,000.-บาท  ประกัน  2  ปี</t>
  </si>
  <si>
    <t>นายจตุราษฎร์  วิผาลา</t>
  </si>
  <si>
    <t>จ้างเหมาต่อพ่วงข้างรถจักรยานยนต์  ตามใบสั่งจ้าง</t>
  </si>
  <si>
    <t>บร.011/58  เลขที่ 19</t>
  </si>
  <si>
    <t>ที่ นศ 56702/59(133)  ลว. 26 ก.ย. 59  วงเงิน</t>
  </si>
  <si>
    <t>ลว. 26 ก.ย. 59</t>
  </si>
  <si>
    <t>13,500.-บาท  ประกัน  1  ปี</t>
  </si>
  <si>
    <t>โครงการจัดซื้อเรือไฟเบอร์กลาสแบบท้องแบนหัวแหลม</t>
  </si>
  <si>
    <t>บร.011/58 เลขที่ 26</t>
  </si>
  <si>
    <t>พร้อมเครื่องยนต์ ตามสัญญาซื้อขายเลขที่  6/2559</t>
  </si>
  <si>
    <t>ลว. 29 ก.ย. 59</t>
  </si>
  <si>
    <t>ลว. 29 ก.ย. 59  วงเงิน 199,000.-บาท ประกัน 1 ปี</t>
  </si>
  <si>
    <t>24 กพ. 62</t>
  </si>
  <si>
    <t>ร้านกิจเจริญ</t>
  </si>
  <si>
    <t>โครงการก่อสร้างประปาหมู่บ้าน  ม.7  ต.ฉวาง</t>
  </si>
  <si>
    <t>บร.015  เลขที่  19</t>
  </si>
  <si>
    <t>ตามสัญญาจ้างเลขที่ 3/2560  ลว. 21  ธ.ค. 59</t>
  </si>
  <si>
    <t>ลว.  21  ธ.ค. 59</t>
  </si>
  <si>
    <t>วงเงิน  405,000.-บาท  ประกัน  2  ปี</t>
  </si>
  <si>
    <t>หจก.ฐากูร 2006  วิศวกรรม</t>
  </si>
  <si>
    <t>โครงการก่อสร้างระบบประปาหมู่บ้านแบบหอถังสูง</t>
  </si>
  <si>
    <t>บร.  เล่มที่ 015  เลขที่  21</t>
  </si>
  <si>
    <t xml:space="preserve">ขนาด 30 ลบ.ม. รูปทรงถ้วยแชมเปญฯ ม.7 </t>
  </si>
  <si>
    <t>ควนเถี๊ยะ ต.ฉวาง สัญญาเลขที่ 4/2560</t>
  </si>
  <si>
    <t>ลว 21 ธ.ค. 59 วงเงิน 1,495,000.-บาท</t>
  </si>
  <si>
    <t>หน้า  3</t>
  </si>
  <si>
    <t>นายสมหมาย  ช่วยชูจิตร์</t>
  </si>
  <si>
    <t>โครงการปรับปรุงเหมืองสาธารณะประโยชน์</t>
  </si>
  <si>
    <t>บร. 016/58 เลขที่ 01</t>
  </si>
  <si>
    <t>เพื่อระบายน้ำท่วมขังฯ  ตามสัญญาเลขที่ 5/60</t>
  </si>
  <si>
    <t>ลว.  29 ธ.ค. 59</t>
  </si>
  <si>
    <t>ลว.  29  ธ.ค.  59  วงเงิน  280,000.-บาท</t>
  </si>
  <si>
    <t>ประกัน  1  ปี</t>
  </si>
  <si>
    <t>บริษัท ช้างกลางซีแพคจำกัด</t>
  </si>
  <si>
    <t>โครงการก่อสร้างถนน  คสล.สายโรงเรือ-บ้านป้าแอบ</t>
  </si>
  <si>
    <t>บร.028/58  เลขที่  33</t>
  </si>
  <si>
    <t>(ต่อเนื่องจากถรร คสล.เดิม)  ม. 7  ต.ฉวาง</t>
  </si>
  <si>
    <t>ลว.  19  เม.ย. 60</t>
  </si>
  <si>
    <t>ตามสัญญาจ้างเลขที่ 10/2560 ลว. 19  เม.ย. 60</t>
  </si>
  <si>
    <t>วงเงิน  497,000.-บาท  ประกัน  2  ปี</t>
  </si>
  <si>
    <t>โครงการขุดเจาะบ่อบาดาล บริเวณบ่อขยะ  ม.8</t>
  </si>
  <si>
    <t>บร. 029/58  เลขที่  39</t>
  </si>
  <si>
    <t xml:space="preserve">ต.ฉวาง  ตามสัญญาจ้างเลขที่  16/2560  </t>
  </si>
  <si>
    <t>ลว.  1  ส.ค. 60</t>
  </si>
  <si>
    <t>ลว.  1  ส.ค.  60  วงเงิน  149,500.-บาท</t>
  </si>
  <si>
    <t>โครงการก่อสร้างระบบประปาหมู่บ้าน  ม.8</t>
  </si>
  <si>
    <t>บร. 029/58  เลขที่  49</t>
  </si>
  <si>
    <t>ต.ฉวาง  ตามสัญญาจ้างเลขที่  17/2560</t>
  </si>
  <si>
    <t>ลว. 21  ส.ค.  60</t>
  </si>
  <si>
    <t>ลว. 21 ส.ค. 60 วงเงิน 499,000.-บาท  ประกัน 2 ปี</t>
  </si>
  <si>
    <t>หจก.ฐากูร 2006 วิศวกรรม</t>
  </si>
  <si>
    <t>โครงการขยายเขตประปาหมุ่บ้าน  ม.8  บ้านเกาะ-</t>
  </si>
  <si>
    <t>บร.032/58  เลขที่  02</t>
  </si>
  <si>
    <t>ลังสาด ต.ฉวาง  อ.ฉวาง  จ.นครศรีฯ  ตามสัญญา</t>
  </si>
  <si>
    <t>ลว.  21  ส.ค. 60</t>
  </si>
  <si>
    <t>เลขที่  18/2560  ลว.  21  ส.ค. 60  วงเงิน</t>
  </si>
  <si>
    <t>158,000.-บาท   ประกัน  2  ปี</t>
  </si>
  <si>
    <t>โครงการก่อสร้างระบบประปาแบบบาดาล</t>
  </si>
  <si>
    <t>บร.032/58  เลขที่  03</t>
  </si>
  <si>
    <t>ขนาดความจุ  12  ลบ.ม. (ถังเก็บน้ำ)  ม. 7</t>
  </si>
  <si>
    <t>บ้านแหลมยูง ต.ฉวางฯ  ตามสัญญาเลขที่ 19/60</t>
  </si>
  <si>
    <t>ลว.  21  ส.ค.  60  วงเงิน  498,000.-บาท</t>
  </si>
  <si>
    <t>ปรกัน  2  ปี</t>
  </si>
  <si>
    <t>หน้า  4</t>
  </si>
  <si>
    <t>ร้าน kk ทานพอธุรกิจ  999</t>
  </si>
  <si>
    <t>ซื้อครุภัณฑ์คอมพิวเตอร์ (กองคลัง)  จำนวน 4 รายการ</t>
  </si>
  <si>
    <t>บร.032/58  เลขที่  34</t>
  </si>
  <si>
    <t>ตามสัญญาซื้อขายเลขที่  5/2560  ลว. 28 ก.ย. 60</t>
  </si>
  <si>
    <t>ลว.  28  ก.ย. 60</t>
  </si>
  <si>
    <t>วงเงิน  53,800.-บาท  ประกัน  1  ปี</t>
  </si>
  <si>
    <t>ซื้อครุภัณฑ์คอมพิวเตอร์ (สป.)  จำนวน 3 รายการ</t>
  </si>
  <si>
    <t>บร.032/58  เลขที่  35</t>
  </si>
  <si>
    <t>ตามสัญญาซื้อขายเลขที่  6/2560  ลว. 28 ก.ย. 60</t>
  </si>
  <si>
    <t>วงเงิน  46,700.-บาท  ประกัน  1  ปี</t>
  </si>
  <si>
    <t>ซื้อครุภัณฑ์คอมพิวเตอร์ (กองช่าง.)  จำนวน 2 รายการ</t>
  </si>
  <si>
    <t>บร.032/58  เลขที่  36</t>
  </si>
  <si>
    <t>ตามสัญญาซื้อขายเลขที่  7/2560  ลว. 28 ก.ย. 60</t>
  </si>
  <si>
    <t>วงเงิน  48,000.-บาท  ประกัน  1  ปี</t>
  </si>
  <si>
    <t>27  กค.  62</t>
  </si>
  <si>
    <t>หมายเหตุ  3  เงินสดและเงินฝากธนาคาร</t>
  </si>
  <si>
    <t>หมายเหตุ  4  เงินฝาก ก.ส.ท.</t>
  </si>
  <si>
    <t>เทศบาลตำบลปากน้ำฉวาง อำเภฉวาง  จังหวัดนครศรีธรรมราช</t>
  </si>
  <si>
    <t>โครงการก่อสร้างระบบประปาหมู่บ้านแบบบาดาล ขนาดความจุ 12 ลบ.ม.  ม.7 บ้านแหลมยูง ต. ฉวาง</t>
  </si>
  <si>
    <t>โครงการก่อสร้างระบบประปาหมู่บ้านแบบหอถังสูง ขนาด 30 ลบ.ม. ม. 7 บ้านควนเถี๊ยะ ต. ฉวาง</t>
  </si>
  <si>
    <t>โครงการขยายประปาหมู่บ้าน ม. 8 บ้านเกาะลางสาด ต. ฉวาง</t>
  </si>
  <si>
    <t>รวมทั้งสิ้น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</si>
  <si>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</si>
  <si>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</si>
  <si>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</si>
  <si>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</si>
  <si>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</si>
  <si>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</si>
  <si>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บริหารงาน</t>
  </si>
  <si>
    <t>บริหารทั่วไป</t>
  </si>
  <si>
    <t>รายจ่ายเพื่อให้</t>
  </si>
  <si>
    <t>จ้างเหมาเก็บขนขยะมูลฝอย</t>
  </si>
  <si>
    <t>ทั่วไป</t>
  </si>
  <si>
    <t>ได้มาซึ่งบริการ</t>
  </si>
  <si>
    <t>และกำจัดสิ่งปฏิกูลมูลฝอย</t>
  </si>
  <si>
    <t>ในเขตทต. ปากน้ำฉวาง</t>
  </si>
  <si>
    <t>การศึกษา</t>
  </si>
  <si>
    <t>ระดับก่อน</t>
  </si>
  <si>
    <t>รายจ่ายเกี่ยวเนื่อง</t>
  </si>
  <si>
    <t>จัดจ้างรถรับ-ส่งเด็กเล็กปฐมวัย</t>
  </si>
  <si>
    <t>วัยเรียนและ</t>
  </si>
  <si>
    <t>กับการปฏิบัติ</t>
  </si>
  <si>
    <t>ประจำเดือนกันยายน 2560</t>
  </si>
  <si>
    <t>ประถมศึกษา</t>
  </si>
  <si>
    <t>ราชการที่ไม่เข้า</t>
  </si>
  <si>
    <t>ลักษณะรายจ่าย</t>
  </si>
  <si>
    <t>หมวดอื่นๆ</t>
  </si>
  <si>
    <t>ศาสนา</t>
  </si>
  <si>
    <t>จัดซื้อครุภัณฑ์ตู้ไม้สักแกะลาย</t>
  </si>
  <si>
    <t>วัฒนธรรม</t>
  </si>
  <si>
    <t>สำนักงาน</t>
  </si>
  <si>
    <t>มีกระจกและชุดโซฟาไม้</t>
  </si>
  <si>
    <t>ท้องถิ่น</t>
  </si>
  <si>
    <t>วัสดุเชื้อเพลิงและ</t>
  </si>
  <si>
    <t>จัดซื้อวัสดุเชื้อเพลิงและหล่อลื่น</t>
  </si>
  <si>
    <t>หล่อลื่น</t>
  </si>
  <si>
    <t>วัสดุสำนักงาน</t>
  </si>
  <si>
    <t>จัดซื้อหนังสือพิมพ์รายวัน</t>
  </si>
  <si>
    <t>จัดซื้อคอมพิวเตอร์</t>
  </si>
  <si>
    <t>คอมพิวเตอร์</t>
  </si>
  <si>
    <t>จัดจ้างปรับปรุงพื้นที่ เพื่อเตรียม</t>
  </si>
  <si>
    <t>การจัดงานประเพณีลากพระและ</t>
  </si>
  <si>
    <t>แข่งขันเรือยาววันออกพรรษา</t>
  </si>
  <si>
    <t>ประจำปี 2560</t>
  </si>
  <si>
    <t>บริหารงานคลัง</t>
  </si>
  <si>
    <t>จ้างเหมาบริการพนักงานจด-</t>
  </si>
  <si>
    <t>มาตรวัดน้ำประปา เก็บเงิน-</t>
  </si>
  <si>
    <t>ค่าน้ำประปาและค่าธรรมเนียมฯ</t>
  </si>
  <si>
    <t>เคหะและ</t>
  </si>
  <si>
    <t>งานบริหารทั่วไป</t>
  </si>
  <si>
    <t>จ้างเหมาบริหารผลิตน้ำประปา</t>
  </si>
  <si>
    <t>ชุมชน</t>
  </si>
  <si>
    <t>เกี่ยวกับเคหะ</t>
  </si>
  <si>
    <t>หมู่บ้าน ม.3 - 8 ตำบลฉวาง</t>
  </si>
  <si>
    <t>และชุมชน</t>
  </si>
  <si>
    <t>งานกำจัดขยะ</t>
  </si>
  <si>
    <t>มูลฝอยและสิ่ง</t>
  </si>
  <si>
    <t>ปฏิกูล</t>
  </si>
  <si>
    <t>จ้างเหมารักษาความปลอดภัย</t>
  </si>
  <si>
    <t>ณ สถานที่กำจัดขยะมูลฝอย</t>
  </si>
  <si>
    <t>ทต. ปากน้ำฉวาง</t>
  </si>
  <si>
    <t>จ้างเหมาบริการซ่อมแซม</t>
  </si>
  <si>
    <t>ติดตั้งไฟฟ้าสาธารณะฯลฯ</t>
  </si>
  <si>
    <t>จ้างเหมาเพื่อคัดแยดขยะมูลฝอย</t>
  </si>
  <si>
    <t>ค่าเช่าเครื่องจักรกล ขนาด</t>
  </si>
  <si>
    <t>ไม่ต่ำกว่า 150 แรงม้า</t>
  </si>
  <si>
    <t>(รถแบ็คโฮ)</t>
  </si>
  <si>
    <t>จัดซื้อครุภัณฑ์คอมพิวเตอร์</t>
  </si>
  <si>
    <t>งานไฟฟ้าถนน</t>
  </si>
  <si>
    <t>ค่าที่ดิน</t>
  </si>
  <si>
    <t>ค่าก่อสร้างสิ่ง</t>
  </si>
  <si>
    <t>ก่อสร้างระบบประปาหมู่บ้าน</t>
  </si>
  <si>
    <t>เฉพาะกิจ</t>
  </si>
  <si>
    <t>และ</t>
  </si>
  <si>
    <t>สาธารณูปโภค</t>
  </si>
  <si>
    <t xml:space="preserve">แบบบาดาล ขนาดความจุ </t>
  </si>
  <si>
    <t>สิ่งก่อสร้าง</t>
  </si>
  <si>
    <t>12 ลบ.ม.  ม.7  บ้านแหลมยูง</t>
  </si>
  <si>
    <t>ขยายเขตประปาหมู่บ้าน ม.8</t>
  </si>
  <si>
    <t xml:space="preserve">บ้านเกาะลางสาด </t>
  </si>
  <si>
    <t xml:space="preserve">แบบหอถังสูง ขนาดความจุ </t>
  </si>
  <si>
    <t>30 ลบ.ม.  ม.7 บ้านควนเถี๊ยะ</t>
  </si>
  <si>
    <t>เงินทุน</t>
  </si>
  <si>
    <t>ขุดเจาะบ่อบาดาลบริเวณบ่อขยะ</t>
  </si>
  <si>
    <t>สำรอง</t>
  </si>
  <si>
    <t>หมู่ที่ 8 ตำบลฉวาง</t>
  </si>
  <si>
    <t xml:space="preserve">หมายเหตุ 8  รายจ่ายค้างจ่าย </t>
  </si>
  <si>
    <t xml:space="preserve">หมายเหตุ  9  เงินรับฝาก   </t>
  </si>
  <si>
    <t>หมายเหตุ 10 เงินสะสม</t>
  </si>
  <si>
    <t>หัก 25 % ของรายรับจริงสูงกว่าจ่ายจริง (เงินทุนสำรองเงินสะสม)</t>
  </si>
  <si>
    <t>จ่ายขาดเงินสะสม (รายละเอียดแนบท้าย หมายเหตุ 10)</t>
  </si>
  <si>
    <t xml:space="preserve">ลูกหนี้ค่าภาษี </t>
  </si>
  <si>
    <t>ลูกหนี้รายได้อื่น ๆ</t>
  </si>
  <si>
    <t>รายได้รัฐบาลค้างรับ</t>
  </si>
  <si>
    <t>เงินสะสมที่สามารถนำไปใช้ได้</t>
  </si>
  <si>
    <t>และจะเบิกจ่ายในปีงบประมาณต่อไป ตามรายละเอียดแนบท้ายหมายเหตุ 11</t>
  </si>
  <si>
    <t>หน้าที่ 1</t>
  </si>
  <si>
    <t>จำนวนเงินที่ได้รับ</t>
  </si>
  <si>
    <t>อนุมัติ</t>
  </si>
  <si>
    <t>(บาท)</t>
  </si>
  <si>
    <t>สำรองจ่าย</t>
  </si>
  <si>
    <t xml:space="preserve"> - จัดซื้อถุงยังชีพ</t>
  </si>
  <si>
    <t>รายจ่ายเกี่ยวเนื่องกับ</t>
  </si>
  <si>
    <t xml:space="preserve"> - จ้างแรงงานราษฎรปฏิบัติงานตัดหญ้า</t>
  </si>
  <si>
    <t>การปฏิบัติราชการ</t>
  </si>
  <si>
    <t>กิ่งไม้ และถางป่าสองข้างทางถนน</t>
  </si>
  <si>
    <t>ที่ไม่เข้าลักษณะรายจ่าย</t>
  </si>
  <si>
    <t>ระยะทาง 6,270 เมตร จำนวน 5 วัน</t>
  </si>
  <si>
    <t>หมวดอื่น ๆ</t>
  </si>
  <si>
    <t>กิ่งไม้ บริเวณแนวเขตประปาหมู่บ้าน หมู่ที่ 3</t>
  </si>
  <si>
    <t>4,5,6,7 และ 8 ตำบลฉวาง จำนวน 5 วัน</t>
  </si>
  <si>
    <t xml:space="preserve"> - จ้างแรงงานราษฎรปฏิบัติงานลอกวัชพืช</t>
  </si>
  <si>
    <t>แหล่งน้ำสาธารณะ บริเวณประปาโคกไม้แดง</t>
  </si>
  <si>
    <t>หมู่ที่ 8 ตำบลฉวาง จำนวน 8 วัน</t>
  </si>
  <si>
    <t xml:space="preserve"> - จัดซื้อวัสดุก่อสร้าง ตามโครงการจ้างแรงงาน</t>
  </si>
  <si>
    <t>ราษฎรปฏิบัติงานทาสีสะพาน จำนวน 3 แห่ง</t>
  </si>
  <si>
    <t xml:space="preserve"> - จัดซื้อน้ำมันเชื้อเพลิงและน้ำมันเครื่อง</t>
  </si>
  <si>
    <t>ตามโครงการจ้างแรงงานราษฎรปฏิบัติงาน</t>
  </si>
  <si>
    <t>ตัดหญ้า กิ่งไม้ ถางป่า และลอกวัชพืช</t>
  </si>
  <si>
    <t>ค่าที่ดินและ</t>
  </si>
  <si>
    <t>ค่าบำรุงรักษาและปรับปรุง</t>
  </si>
  <si>
    <t xml:space="preserve"> - จัดซื้อน้ำมันเชื้อเพลิง ตามโครงการจ้าง</t>
  </si>
  <si>
    <t>ที่ดินและสิ่งก่อสร้าง</t>
  </si>
  <si>
    <t>แรงงานราษฎรปฏิบัติงานซ่อมถนนภายใน</t>
  </si>
  <si>
    <t>เขตเทศบาลตำบลปากน้ำฉวาง</t>
  </si>
  <si>
    <t>ราษฎรปฏิบัติงานซ่อมแซมถนนภายในเขต</t>
  </si>
  <si>
    <t xml:space="preserve"> - จ้างแรงงานราษฎรปฏิบัติงานซ่อมแซมถนน</t>
  </si>
  <si>
    <t>ภายในเขตเทศบาลตำบลปากน้ำฉวาง</t>
  </si>
  <si>
    <t>ที่ได้รับอนุมัติ</t>
  </si>
  <si>
    <t>ค่าก่อสร้างสิ่งสาธารณูปโภค</t>
  </si>
  <si>
    <t xml:space="preserve"> - โครงการถมหินคลุก (ถนนสายปากน้ำ-วังพอ)</t>
  </si>
  <si>
    <t xml:space="preserve">หมู่ที่ 7  ตำบลฉวาง อำเภอฉวาง </t>
  </si>
  <si>
    <t>จังหวัดนครศรีธรรมราช</t>
  </si>
  <si>
    <t xml:space="preserve"> - โครงการปรับปรุงเหมืองสาธารณประโยชน์</t>
  </si>
  <si>
    <t>หมู่ที่ 8 ตำบลฉวาง อำเภอฉวาง</t>
  </si>
  <si>
    <t xml:space="preserve"> - โครงการถมหินคลุก (ถนนสายไสเทียม) </t>
  </si>
  <si>
    <t xml:space="preserve">หมู่ที่ 8 ตำบลฉวาง อำเภอฉวาง </t>
  </si>
  <si>
    <t xml:space="preserve"> - โครงการถมหินคลุก (ถนนสายโคกไม้แดง)</t>
  </si>
  <si>
    <t xml:space="preserve">หมู่ที่ 8  ตำบลฉวาง อำเภอฉวาง </t>
  </si>
  <si>
    <t xml:space="preserve"> - โครงการก่อสร้างถนนคอนกรีตเสริมเหล็ก</t>
  </si>
  <si>
    <t>สายโรงเรือ - บ้านป้าแอบ (ต่อเนื่องจากถนน-</t>
  </si>
  <si>
    <t>คอนกรีตเดิม) หมู่ที่ 7 ตำบลฉวาง อำเภอฉวาง</t>
  </si>
  <si>
    <t xml:space="preserve"> - โครงการก่อสร้างถนนแอสฟัลท์ฯ </t>
  </si>
  <si>
    <t>สายสามแยกบ้านนางประนอม สวนจันทร์ -</t>
  </si>
  <si>
    <t>บ้านนายบัญชา ลิบน้อย หมู่ที่ 6 ตำบลฉวาง</t>
  </si>
  <si>
    <t>อำเภอฉวาง จังหวัดนครศรีธรรมราช</t>
  </si>
  <si>
    <t>สายวัดควนสูง - หัวสะพานด่านฝ้าย หมู่ที่ 8</t>
  </si>
  <si>
    <t>ตำบลฉวาง อำเภอฉวาง จังหวัดนครศรีฯ</t>
  </si>
  <si>
    <t xml:space="preserve"> - โครงการปรับปรุงซ่อมแซม (ถนนสาย</t>
  </si>
  <si>
    <t xml:space="preserve">หัวสะพานพุทธฯ หมู่ที่ 4  - ทุ่งพลี หมู่ที่ 3 </t>
  </si>
  <si>
    <t>ตำบลฉวาง อำเภอฉวาง จังหวัดนครศรีธรรมราช</t>
  </si>
  <si>
    <t xml:space="preserve"> - โครงการก่อสร้างระบบประปาหมู่บ้าน </t>
  </si>
  <si>
    <t xml:space="preserve"> - โครงการขุดเจาะบ่อบาดาลบริเวณบ่อขยะ</t>
  </si>
  <si>
    <t xml:space="preserve">ปรับปรุงรายการเงินทุนสำรองเงินสะสมระหว่างปี </t>
  </si>
  <si>
    <t>หมายเหตุ 11 เงินทุนสำรองเงินสะสม</t>
  </si>
  <si>
    <t>รายละเอียดแนบท้ายหมายเหตุ 10 เงินสะสม</t>
  </si>
  <si>
    <t>และจะเบิกจ่ายในปีงบประมาณต่อไป ตามรายละเอียดแนบท้ายหมายเหตุ...........-.................</t>
  </si>
  <si>
    <t>รายละเอียดแนบท้ายหมายเหตุ 11 เงินทุนสำรองเงินสะสม</t>
  </si>
  <si>
    <t>งบทดลอง หลังปิดบัญชี</t>
  </si>
  <si>
    <t>ปลัดเทศบาลตำบลปากน้ำฉวาง</t>
  </si>
  <si>
    <t>(นายบุญธรรม รุ่งเรือง)</t>
  </si>
  <si>
    <t>(นายสง่าชัย  หนูเนียม)               (นายสง่าชัย  หนูเนียม)</t>
  </si>
  <si>
    <t>เงินฝาก ก.ส.ท. (หมายเหตุ 4)</t>
  </si>
  <si>
    <t>รายได้จากรัฐบาลค้างรับ (หมายเหตุ 5)</t>
  </si>
  <si>
    <t>ลูกหนี้-ภาษีโรงเรือนและที่ดิน (หมายเหตุ 6)</t>
  </si>
  <si>
    <t>ลูกหนี้รายได้อื่น ๆ - ค่าธรรมเนียมกำจัดขยะมูลฝอย (หมายเหตุ 7)</t>
  </si>
  <si>
    <t>ลูกหนี้รายได้อื่น ๆ - ค่าน้ำประปา (หมายเหตุ 7)</t>
  </si>
  <si>
    <t>รายจ่ายค้างจ่าย (หมายเหตุ 8)</t>
  </si>
  <si>
    <t>เงินรับฝาก  (หมายเหตุ  9)</t>
  </si>
  <si>
    <t>เงินสะสม (หมายเหตุ 10)</t>
  </si>
  <si>
    <t>เงินทุนสำรองเงินสะสม (หมายเหตุ 11)</t>
  </si>
  <si>
    <t>ง. เงินอุดหนุน อบจ.</t>
  </si>
  <si>
    <t>แหล่งที่มาของทรัพย์สินทั้งหมด</t>
  </si>
  <si>
    <t>เทศบาลตำบลปากน้ำฉวาง อำเภอฉวาง  จังหวัดนครศรีธรรมราช</t>
  </si>
  <si>
    <t>เงินฝากธนาคาร ธกส. (ออมทรัพย์) เลขที่ 890-2-46698-0 (หมายเหตุ 3)</t>
  </si>
  <si>
    <t xml:space="preserve">       ผู้อำนวยการกองคลัง</t>
  </si>
  <si>
    <t xml:space="preserve">   ปลัดเทศบาล รักษาราชการแทน      ปลัดเทศบาลตำบลปากน้ำฉวาง</t>
  </si>
  <si>
    <t>เงินฝากธนาคาร ธกส. (ออมทรัพย์) เลขที่ 890-2-44353-8 (หมายเหตุ 3)</t>
  </si>
  <si>
    <t>เทศบาลตำบลปากน้ำฉวาง อ. ฉวาง จ. นครศรีธรรมราช</t>
  </si>
  <si>
    <t xml:space="preserve">  7. ครุภัณฑ์สาธารณูปโภค</t>
  </si>
  <si>
    <t xml:space="preserve"> ณ  วันที่  30  กันยายน  2561</t>
  </si>
  <si>
    <t>สำหรับปี สิ้นสุดวันที่ 30 กันยายน 2561</t>
  </si>
  <si>
    <t>ณ วันที่ 30 กันยายน 2561</t>
  </si>
  <si>
    <t>ยอดยกไป 30 ก.ย. 61</t>
  </si>
  <si>
    <t xml:space="preserve"> 1 ต.ค. 60</t>
  </si>
  <si>
    <t>รายละเอียดงบทรัพย์สิน  ที่รับเพิ่มในปี 2561</t>
  </si>
  <si>
    <t xml:space="preserve"> ณ วันที่ 30  กันยายน 2561</t>
  </si>
  <si>
    <t>เงินรายได้</t>
  </si>
  <si>
    <t>สำหรับปี  สิ้นสุดวันที่  30  กันยายน  2561</t>
  </si>
  <si>
    <t xml:space="preserve">สำหรับปี สิ้นสุดวันที่ 30 กันยายน 2561 </t>
  </si>
  <si>
    <t>เงินสะสม  1  ตุลาคม 2560</t>
  </si>
  <si>
    <t>ตั้งแต่วันที่ 1 ตุลาคม 2560  ถึงวันที่ 30  กันยายน 2561</t>
  </si>
  <si>
    <t xml:space="preserve">  ณ วันที่  30 กันยายน 2561</t>
  </si>
  <si>
    <t>รายรับจริงประกอบงบทดลองและรายงานรับ - จ่ายเงิน</t>
  </si>
  <si>
    <t>ณ วันที่ 30  กันยายน 2561</t>
  </si>
  <si>
    <t>กันเงิน 12144.75</t>
  </si>
  <si>
    <t>1) ค่าธรรมเนียมเกี่ยวกับใบอนุญาตการขายสุรา</t>
  </si>
  <si>
    <t>2) ค่าธรรมเนียมเกี่ยวกับการควบคุมอาคาร</t>
  </si>
  <si>
    <t>3) ค่าธรรมเนียมเก็บและขนขยะมูลฝอย</t>
  </si>
  <si>
    <t>5) ค่าธรรมเนียมจดทะเบียนพาณิชย์</t>
  </si>
  <si>
    <t>ตั้งลูกหนี้ 85836.6</t>
  </si>
  <si>
    <t>1) เงินที่มีผู้อุทิศให้</t>
  </si>
  <si>
    <t>2) ค่าขายแบบแปลน</t>
  </si>
  <si>
    <t>3) รายได้เบ็ดเตล็ดอื่นๆ</t>
  </si>
  <si>
    <t>รายได้ที่รัฐบาลเก็บแล้วจัดสรรให้องค์กรปกครองส่วนท้องถิ่น</t>
  </si>
  <si>
    <t>2) ภาษีมูลค่าเพิ่ม ตามพรบ. กำหนดแผนฯ</t>
  </si>
  <si>
    <t>10) ภาษีจัดสรรอื่น ฯ</t>
  </si>
  <si>
    <t>1) เงินอุดหนุน - ยาเสพติด</t>
  </si>
  <si>
    <t xml:space="preserve">3) เงินอุดหนุน - เบี้ยยังชีพคนพิการ (เพิ่มเติม) ประจำปี 2559 </t>
  </si>
  <si>
    <t>5) เงินอุดหนุน-ศพด. (เงินเดือน/ค่าตอบแทน ไตรมาส 4  เพิ่มเติม)</t>
  </si>
  <si>
    <t>6) เงินอุดหนุน-ค่าจัดการเรียนการสอน (ตค.-ธค.60)</t>
  </si>
  <si>
    <t>ปฐมวัย=241800/ประถม=306000</t>
  </si>
  <si>
    <t>8) เงินอุดหนุน-ศพด. (ค่าอาหารกลางวัน ปฐมศึกษา ไตรมาส 4 เพิ่มเติม)</t>
  </si>
  <si>
    <t>ปฐมวัย=89104/ประถม=146589</t>
  </si>
  <si>
    <t>10) เงินอุดหนุน-ศพด. (ค่าอาหารเสริมนม ปฐมศึกษา ไตรมาส 4 เพิ่มเติม)</t>
  </si>
  <si>
    <t>12) เงินอุดหนุน-โครงการพระราชดำริด้านสาธารณสุข</t>
  </si>
  <si>
    <t>13) เงินอุดหนุน-โครงการสัตว์ปลอดโรคคนปลอดภัยฯ (เพื่อขับเคลื่อน)</t>
  </si>
  <si>
    <t>ไตรมาสที่ 2</t>
  </si>
  <si>
    <t>14) เงินอุดหนุน-โครงการสัตว์ปลอดโรคคนปลอดภัยฯ (สำรวจข้อมูล)</t>
  </si>
  <si>
    <t>15) เงินอุดหนุนทั่วไป สำหรับดำเนินการตามอำนาจหน้าที่</t>
  </si>
  <si>
    <t xml:space="preserve">     และภารกิจถ่ายโอนเลือกทำ</t>
  </si>
  <si>
    <t>รายได้ที่รัฐบาลอุดหนุนให้โดยระบุวัตถุประสงค์/เฉพาะกิจ</t>
  </si>
  <si>
    <t>2) โครงการก่อสร้างระบบประปาหมู่บ้านแบบหอถังฯ ม.7 บ้านควนเถี๊ยะ</t>
  </si>
  <si>
    <t>รายจ่ายค้างจ่าย ปี 60</t>
  </si>
  <si>
    <t>3) โครงการก่อสร้างระบบประปาหมู่บ้านแบบบาดาลขนาดความจุ 12 ลบ.ม.</t>
  </si>
  <si>
    <t>4) โครงการขยายเขตประปาหมู่บ้าน  ม. 8 บ้านเกาะลางสาด</t>
  </si>
  <si>
    <t>5) โครงการส่งเสริมการเรียนรู้เด็กปฐมวัย</t>
  </si>
  <si>
    <t>6) โครงการก่อสร้างถนนแอสฟัลท์คอนกรีตผสมยางพาราสายศาลาแดง ม.8</t>
  </si>
  <si>
    <t>กันเงินปี61 495000</t>
  </si>
  <si>
    <t>7) โครงการก่อสร้างระบบประปาหมู่บ้านฯ แบบบาดาล ม.7</t>
  </si>
  <si>
    <t>กันเงินปี61 1083000</t>
  </si>
  <si>
    <t>8) โครงการพัฒนาลุ่มน้ำตาปี/ก่อสร้างอาคารเอนกประสงค์พร้อมปรับปรุง</t>
  </si>
  <si>
    <t>กันเงินปี61 4980000</t>
  </si>
  <si>
    <t>9) โครงการก่อสร้างระบบประปาหมู่บ้านฯ แบบบาดาล ม.8</t>
  </si>
  <si>
    <t>กันเงินปี61 1247500</t>
  </si>
  <si>
    <t>10) โครงการก่อสร้างถังเก็บน้ำประปาหมู่บ้านฯ บาดาล ม.8</t>
  </si>
  <si>
    <t>กันเงินปี61 400000</t>
  </si>
  <si>
    <t>11) โครงการก่อสร้างระบบประปาหมู่บ้านฯ รูปทรงถ้วยแชมเปญ ม.8</t>
  </si>
  <si>
    <t>กันเงินปี61 1378500</t>
  </si>
  <si>
    <t>1) เงินอุดหนุนเฉพาะกิจจากกรมส่งเสริมการปกครองท้องถิ่น</t>
  </si>
  <si>
    <t>2) เงินอุดหนุน -  เบี้ยยังชีพผู้สูงอายุ (ตค.60-กย.61)</t>
  </si>
  <si>
    <t>4) เงินอุดหนุน - ผู้ป่วยเอดส์ (ตค60-กย.61)</t>
  </si>
  <si>
    <t>7) เงินอุดหนุน-ศูนย์พัฒนาเด็กเล็ก (ค่าอาหารกลางวัน ปฐมวัย ตค60-กย.61)</t>
  </si>
  <si>
    <t>9) เงินอุดหนุน-ศูนย์พัฒนาเด็กเล็ก (ค่าอาหารเสริมนม ปฐมวัย ตค60-กย.61)</t>
  </si>
  <si>
    <t>ปี 2561</t>
  </si>
  <si>
    <t>ปี 2560</t>
  </si>
  <si>
    <t xml:space="preserve">เทศบาลตำบลปากน้ำฉวาง </t>
  </si>
  <si>
    <t xml:space="preserve"> 12. ครุภัณฑ์คอมพิวเตอร์</t>
  </si>
  <si>
    <t xml:space="preserve"> 13. ครุภัณฑ์ยานพาหนะและขนส่ง</t>
  </si>
  <si>
    <t xml:space="preserve">เงินฝากธนาคาร ธกส.   ประเภทออมทรัพย์  เลขที่  890-2-44353-8 </t>
  </si>
  <si>
    <t>เงินฝากธนาคาร ธกส. ประเภทออมทรัพย์  เลขที่  890-2-46698-0</t>
  </si>
  <si>
    <t>เงินฝากธนาคาร กรุงไทย  ประเภทออมทรัพย์   เลขที่ 814-0-00415-4</t>
  </si>
  <si>
    <t>เงินฝากธนาคาร กรุงไทย  ประเภทออมทรัพย์   เลขที่ 814-0-35095-8</t>
  </si>
  <si>
    <t xml:space="preserve">    (นายบุญธรรม  รุ่งเรือง)</t>
  </si>
  <si>
    <t>งบรายรับ-รายจ่ายตามงบประมาณประจำปี 2561</t>
  </si>
  <si>
    <t>โครงการก่อสร้างถนนแอสฟัลท์คอนกรีตผสมยางพารา สายศาลาแดง หมู่ที่ 8</t>
  </si>
  <si>
    <t>โครงการก่อสร้างระบบประปาหมู่บ้านแบบบาดาล ขนาดความจุ 30 ลบ.ม. หมู่ที่ 7</t>
  </si>
  <si>
    <t>โครงการพัฒนาลุ่มแม่น้ำตาปีและก่อสร้างอาคารอเนกประสงค์และปรับปรุงภูมิทัศน์</t>
  </si>
  <si>
    <t>โครงการก่อสร้างระบบประปาหมู่บ้าน แบบบาดาลความจุ 30 ลบ.ม  หมู่ที่ 8 บ้านเกาะสาด</t>
  </si>
  <si>
    <t>โครงการก่อสร้างถังเก็บน้ำประปาบาดาล ขนาด 12  ลบ.ม. บ้านโคกแม่คาด 1  หมู่ที่ 8</t>
  </si>
  <si>
    <t>โครงการก่อสร้างระบบประปาหมู่บ้าน แบบหอถังสูง ความจุ 30 ลบ.ม. รูปทรงถ้วยแชมเปญ</t>
  </si>
  <si>
    <t>เงินรับฝาก- เงินหลักประกันสัญญา</t>
  </si>
  <si>
    <t>เงินรับฝาก - โครงการเศรษฐกิจชุมชน</t>
  </si>
  <si>
    <t xml:space="preserve"> เงินรับฝากรอคืนจังหวัด (ค่าปรับผิดสัญญา)</t>
  </si>
  <si>
    <t>เงินรับฝาก-กองทุนสิ่งแวดล้อมโครงการส่งเสริมการมีส่วนร่วมฯ</t>
  </si>
  <si>
    <t xml:space="preserve"> เงินรับฝากรอคืนกรมฯ (เงินเดือนตกเบิก ศพด.)</t>
  </si>
  <si>
    <r>
      <rPr>
        <b/>
        <u/>
        <sz val="16"/>
        <rFont val="TH SarabunPSK"/>
        <family val="2"/>
      </rPr>
      <t>หมายเหตุ 5  รายได้จากรัฐบาลค้างรับ</t>
    </r>
    <r>
      <rPr>
        <b/>
        <sz val="16"/>
        <rFont val="TH SarabunPSK"/>
        <family val="2"/>
      </rPr>
      <t xml:space="preserve">    </t>
    </r>
  </si>
  <si>
    <t>ค่าเช่าเครื่องถ่ายเอกสาร</t>
  </si>
  <si>
    <t>ประจำเดือนส.ค. - ก.ย. 61</t>
  </si>
  <si>
    <t>ประจำเดือนกันยายน 2561</t>
  </si>
  <si>
    <t>ระดับก่อนวัยเรียน</t>
  </si>
  <si>
    <t>ค่าอาหารเสริม(นม)</t>
  </si>
  <si>
    <t>จัดซื้ออาหารเสริม (นม)</t>
  </si>
  <si>
    <t>และประถมศึกษา</t>
  </si>
  <si>
    <t>ประจำเดือนตุลาคม 2561</t>
  </si>
  <si>
    <t>จ้างเหมาบริการผลิตน้ำประปา</t>
  </si>
  <si>
    <t>เกี่ยวกับเคหะ/ชุมชน</t>
  </si>
  <si>
    <t>ก่อสร้างถนนแอสฟัลท์คอนกรีต-</t>
  </si>
  <si>
    <t>ผสมยางพารา สายศาลาแดง</t>
  </si>
  <si>
    <t>ม.8 ต.ฉวาง อ.ฉวาง จ.นครศรีฯ</t>
  </si>
  <si>
    <t>แบบบาดาล ความจุ 30 ลบ.ม.</t>
  </si>
  <si>
    <t>หมู่ที่ 7 ตำบลฉวาง</t>
  </si>
  <si>
    <t>โครงการพัฒนาลุ่มน้ำตาปี</t>
  </si>
  <si>
    <t>ให้เป็นแหล่งท่องเที่ยวเอกลักษณ์</t>
  </si>
  <si>
    <t>พื้นถิ่นและก่อสร้างอาคารอเนก-</t>
  </si>
  <si>
    <t>ประสงค์และปรับปรุงภูมิทัศน์</t>
  </si>
  <si>
    <t xml:space="preserve">หมู่ที่ 8 บ้านเกาะลางสาด </t>
  </si>
  <si>
    <t>ก่อสร้างถังเก็บน้ำประปาบาดาล</t>
  </si>
  <si>
    <t>ขนาดความจุ 12 ลบ.ม.</t>
  </si>
  <si>
    <t>บ้านทุ่งโคกแม่คาด 1 หมู่ที่ 8</t>
  </si>
  <si>
    <t>30 ลบ.ม.  ม.8 ตำบลฉวาง</t>
  </si>
  <si>
    <t>ผสมยางพารา สายบ้าน</t>
  </si>
  <si>
    <t>นางประนอม สวนจันทร์-</t>
  </si>
  <si>
    <t>บ้านนายบัญชา ลิบน้อย หมู่ที่ 6</t>
  </si>
  <si>
    <t>ก่อสร้างโรงจอดรถ</t>
  </si>
  <si>
    <t>เงินสะสม  1  ตุลาคม  2560</t>
  </si>
  <si>
    <t>เงินสะสม  ณ วันที่ 30  กันยายน  2561  ประกอบด้วย</t>
  </si>
  <si>
    <t>รับคืนเงินสะสม</t>
  </si>
  <si>
    <t>ที่อยู่ระหว่างดำเนินการ จำนวน...............-....................บาท</t>
  </si>
  <si>
    <t xml:space="preserve">เงินสะสม  ณ วันที่ 30  กันยายน 2561 </t>
  </si>
  <si>
    <t>รายการปรับปรุงยอดเงินสะสมระหว่างปี (รายจ่ายค้างจ่ายเหลือจ่าย)</t>
  </si>
  <si>
    <t>เงินสะสม ณ วันที่ 30  กันยายน  2561</t>
  </si>
  <si>
    <t xml:space="preserve"> - โครงการซ่อมแซมถนนภายในเขตพื้นที่</t>
  </si>
  <si>
    <t>เทศบาลตำบลปากน้ำฉวาง อำเภอฉวาง</t>
  </si>
  <si>
    <t>จังหวัดนครศรีธรรมราช จำนวน 18 สาย</t>
  </si>
  <si>
    <t>รายงานการประชุมสภา สมัยประชุมสามัญ</t>
  </si>
  <si>
    <t>สมัยที่ 4 ครั้งที่ 1 ประจำปี 2560</t>
  </si>
  <si>
    <t>เมื่อวันที่ 25 ธันวาคม 2560</t>
  </si>
  <si>
    <t xml:space="preserve"> - ซ่อมแซมคอสะพานคุดด้วน หมู่ที่ 6</t>
  </si>
  <si>
    <t xml:space="preserve"> - ซ่อมแซมคอสะพานลาดยางสายหัวสะพาน-</t>
  </si>
  <si>
    <t xml:space="preserve">พุทธดำเนิน หมู่ที่ 4 - 3 ตำบลฉวาง </t>
  </si>
  <si>
    <t>ณ  วันที่  30  กันยายน  2561</t>
  </si>
  <si>
    <t>หน้าที่  1</t>
  </si>
  <si>
    <t xml:space="preserve"> 12 กย 61</t>
  </si>
  <si>
    <t>17 พย. 61</t>
  </si>
  <si>
    <t>22 ธค. 62</t>
  </si>
  <si>
    <t>โครงการก่อสร้างระบบประปาหมู่บ้าน  ม. 8</t>
  </si>
  <si>
    <t>19 ธค. 62</t>
  </si>
  <si>
    <t xml:space="preserve">โครงการขยายเขตประปาหมุ่บ้าน  ม.8 </t>
  </si>
  <si>
    <t xml:space="preserve"> บ้านเกาะลังสาด ต.ฉวาง  อ.ฉวาง  จ.นครศรีฯ  </t>
  </si>
  <si>
    <t xml:space="preserve">ตามสัญญา เลขที่  18/2560  ลว.  21  ส.ค. 60  </t>
  </si>
  <si>
    <t>วงเงิน 158,000.-บาท   ประกัน  2  ปี</t>
  </si>
  <si>
    <t>10 ตค. 61</t>
  </si>
  <si>
    <t>หน้าที่  3</t>
  </si>
  <si>
    <t>26 กพ. 62</t>
  </si>
  <si>
    <t>บจก.เอส.พี.ซี.2009 จำกัด</t>
  </si>
  <si>
    <t xml:space="preserve">โครงการบุกเบิกถนนสายสวนนายลอย-บ้านแหลมยูง </t>
  </si>
  <si>
    <t>ลว.  26  ม.ค. 61</t>
  </si>
  <si>
    <t>หมู่ที่ 7 ตำบลฉวาง วงเงิน 258,000.-บาท</t>
  </si>
  <si>
    <t>6 กพ. 62</t>
  </si>
  <si>
    <t xml:space="preserve">โครงการปรับปรุงถนนสายคอกช้าง-คลองชด </t>
  </si>
  <si>
    <t>(ต่อเนื่องจากสภาพเดิม) หมู่ที่ 8 ตำบลฉวาง</t>
  </si>
  <si>
    <t>วงเงิน 224,000.-บาท</t>
  </si>
  <si>
    <t>2 มีค. 62</t>
  </si>
  <si>
    <t>ร้าน kk. ทานพอธุรกิจ 999</t>
  </si>
  <si>
    <t>ลว. 15 ก.พ. 61</t>
  </si>
  <si>
    <t>วงเงิน 16,000.-บาท</t>
  </si>
  <si>
    <t>16 มีค. 62</t>
  </si>
  <si>
    <t>โครงการซ่อมแซมคอสะพานคุดด้วน ม.6</t>
  </si>
  <si>
    <t>ลว. 16 ก.พ. 61</t>
  </si>
  <si>
    <t>3 ตค. 61</t>
  </si>
  <si>
    <t>นายสมหมาย ช่วยชูจิตร</t>
  </si>
  <si>
    <t xml:space="preserve">โครงการขุดลอกแหล่งน้ำสาธารณะทุ่งโคด - แม่คาด </t>
  </si>
  <si>
    <t>ลว. 28 มี.ค. 61</t>
  </si>
  <si>
    <t>ม.8 ตำบลฉวาง อำเภอฉวาง จังหวัดนครศรีฯ</t>
  </si>
  <si>
    <t>วงเงิน 49,500.-บาท</t>
  </si>
  <si>
    <t>ร้านประปาชนบท</t>
  </si>
  <si>
    <t>โครงการก่อสร้างถังเก็บน้ำประปาบาดาล แบบบาดาล</t>
  </si>
  <si>
    <t>ลว. 16 ส.ค. 61</t>
  </si>
  <si>
    <t>ขนาดความจุ 12 ลบ.ม. บ้านโคกแม่คาด 1 ม. 8</t>
  </si>
  <si>
    <t xml:space="preserve">สัญญาจ้าง ลว. 16 ส.ค. 61 </t>
  </si>
  <si>
    <t>จำนวนเงิน 400,000.-บาท</t>
  </si>
  <si>
    <t>โครงการซ่อมแซมระบบประปาหมู่บ้าน หมู่ที่ 8</t>
  </si>
  <si>
    <t>สัญญาจ้าง ลว. 16 ส.ค.ม 61</t>
  </si>
  <si>
    <t>จำนวนเงิน 129,000.-บาท</t>
  </si>
  <si>
    <t>หน้าที่  4</t>
  </si>
  <si>
    <t>หจก. พรวรรณสิน</t>
  </si>
  <si>
    <t>โครงการก่อสร้างถนนแอสฟัลท์คอนกรีตผสมยางพารา</t>
  </si>
  <si>
    <t>ลว. 23 ส.ค. 61</t>
  </si>
  <si>
    <t>สายบ้านนางประนอม สวนจันทร์-บ้านนายบัญชา</t>
  </si>
  <si>
    <t>หมู่ที่ 6  สัญญาจ้าง ลว. 23 สค 61</t>
  </si>
  <si>
    <t>จำนวน 495,000.-บาท</t>
  </si>
  <si>
    <t>สายศาลาแดง หมู่ที่ 8</t>
  </si>
  <si>
    <t>สัญญาจ้าง ลว. 23 สค 61</t>
  </si>
  <si>
    <t>โครงการซ่อมแซมถนนลาดยางสายหัวสะพานพุทธ-</t>
  </si>
  <si>
    <t>ลงวันที่ 28 สค 61</t>
  </si>
  <si>
    <t>ดำเนิน หมู่ที่ 4 - หมู่ที่ ลว. 28 สค 61</t>
  </si>
  <si>
    <t xml:space="preserve">จำนวน 277,000.-บาท </t>
  </si>
  <si>
    <t>หจก. เอิร์ธอาร์ต โยธาไทย</t>
  </si>
  <si>
    <t>โครงการก่อสร้างโรงจอดรถ ทต.ปากน้ำฉวาง</t>
  </si>
  <si>
    <t>ตามสัญญา เลขที่ 23/2561 ลว. 18 กันยายน 2561</t>
  </si>
  <si>
    <t>จำนวนเงิน 378,000.-บาท</t>
  </si>
  <si>
    <t>หจก. เอ 49 เอ็นจิเนียริ่ง</t>
  </si>
  <si>
    <t>โครงการพัฒนาลุ่มแม่น้ำตาปี เป็นแหล่งท่องเที่ยว</t>
  </si>
  <si>
    <t>เอกลักษณ์พื้นถิ่น</t>
  </si>
  <si>
    <t>ตามสัญญา เลขที่ 25/2561 ลว. 27 กันายน 2561</t>
  </si>
  <si>
    <t>จำนวนเงิน 4,980,000.-บาท</t>
  </si>
  <si>
    <t>เงินทุนสำรองเงินสะสม   ณ   วันที่  30  กันยายน  2561</t>
  </si>
  <si>
    <r>
      <rPr>
        <b/>
        <u/>
        <sz val="14"/>
        <rFont val="TH SarabunPSK"/>
        <family val="2"/>
      </rPr>
      <t>หัก</t>
    </r>
    <r>
      <rPr>
        <b/>
        <sz val="14"/>
        <rFont val="TH SarabunPSK"/>
        <family val="2"/>
      </rPr>
      <t xml:space="preserve"> 25 % รายรับจริงสูงกว่าจ่ายจริง (เงินทุนสำรองเงินสะสม)</t>
    </r>
  </si>
  <si>
    <t xml:space="preserve">จ่ายขาดเงินทุนสำรองเงินสะสม </t>
  </si>
  <si>
    <t>(รายละเอียดแนบท้าย หมายเหตุ 11)</t>
  </si>
  <si>
    <t>ทั้งนี้ในงบประมาณ 2561 ได้รับอนุมัติให้จ่ายเงินทุนสำรองเงินสะสมที่อยู่ระหว่างดำเนินการ จำนวน  873,000.-บาท</t>
  </si>
  <si>
    <t xml:space="preserve"> - โครงการก่อสร้างถนนแอสฟัลท์คอนกรีต</t>
  </si>
  <si>
    <t>ผสมยางพารา สายบ้านนางประนอม สวนจันทร์-</t>
  </si>
  <si>
    <t>บ้านนายบัญชา ลิบน้อย หมูที่ 6 ตำบลฉวาง</t>
  </si>
  <si>
    <t xml:space="preserve"> - โครงการก่อสร้างโรงจอดรถ </t>
  </si>
  <si>
    <t>ประเภทลูกหนี้</t>
  </si>
  <si>
    <t>ประจำปี</t>
  </si>
  <si>
    <t>จำนวนราย</t>
  </si>
  <si>
    <t>ลูกหนี้ภาษีโรงเรือนและที่ดิน</t>
  </si>
  <si>
    <t xml:space="preserve"> -  ลูกหนี้ค่าธรรมเนียมจำกัดขยะมูลฝอย</t>
  </si>
  <si>
    <t>หมายเหตุ 6  ลูกหนี้ค่าภาษี</t>
  </si>
  <si>
    <t>หมายเหตุ 7  ลูกหนี้รายได้อื่น ๆ</t>
  </si>
  <si>
    <r>
      <rPr>
        <b/>
        <sz val="16"/>
        <rFont val="TH SarabunPSK"/>
        <family val="2"/>
      </rPr>
      <t>ฝ่ายประจำ</t>
    </r>
    <r>
      <rPr>
        <sz val="16"/>
        <rFont val="TH SarabunPSK"/>
        <family val="2"/>
      </rPr>
      <t xml:space="preserve">  จำนวน  34  คน  ประกอบด้วย  พนักงานเทศบาล  10  คน  ข้าราชการครูผู้ดูแลเด็ก  4  คน  </t>
    </r>
  </si>
  <si>
    <t>ลูกจ้างประจำ 2 คน พนักงานจ้างตามภารกิจ 5 คน พนักงานจ้างทั่วไป 11 คน และพนักงานจ้างผู้ดูแลเด็ก 2 คน</t>
  </si>
  <si>
    <r>
      <t>เงินฝากธนาคาร กรุงไทย (ออมทรัพย์) เลขที่ 814-0-00415-4</t>
    </r>
    <r>
      <rPr>
        <sz val="14"/>
        <rFont val="TH SarabunPSK"/>
        <family val="2"/>
      </rPr>
      <t xml:space="preserve"> (หมายเหตุ 3)</t>
    </r>
  </si>
  <si>
    <r>
      <t>เงินฝากธนาคาร กรุงไทย (ออมทรัพย์) เลขที่ 814-0-35095-8</t>
    </r>
    <r>
      <rPr>
        <sz val="14"/>
        <rFont val="TH SarabunPSK"/>
        <family val="2"/>
      </rPr>
      <t xml:space="preserve"> (หมายเหตุ 3)</t>
    </r>
  </si>
  <si>
    <t xml:space="preserve">   (ลงชื่อ).........................................</t>
  </si>
  <si>
    <t xml:space="preserve">   (ลงชื่อ).......................................</t>
  </si>
  <si>
    <t xml:space="preserve"> -  ลูกหนี้ค่าน้ำประปา</t>
  </si>
  <si>
    <t xml:space="preserve"> เงินรับฝากรอคืนจังหวัด (วัสดุการศึกษา)</t>
  </si>
  <si>
    <t>ทั้งนี้ในงบประมาณ 2561 ได้รับอนุมัติให้จ่ายเงินสะสม</t>
  </si>
  <si>
    <t>รายละเอียดลูกหนี้ (กค.4) ปี พ.ศ. 2561</t>
  </si>
  <si>
    <t>เทศบาลตำบลฉวาง</t>
  </si>
  <si>
    <t>เทศบาลตำบลหลักช้าง</t>
  </si>
  <si>
    <t>อบต. หนองหงส์</t>
  </si>
  <si>
    <t>อบต. ทุ่งสง</t>
  </si>
  <si>
    <t>รพ. สมเด็จพระยุพราชฉวาง</t>
  </si>
  <si>
    <t>เทศบาลตำบลจันดี</t>
  </si>
  <si>
    <t>รายการที่รับเพิ่มในปี 2561</t>
  </si>
  <si>
    <t>2. ชุดโซฟา</t>
  </si>
  <si>
    <t>3. ตู้ไม้สักแกะลาย</t>
  </si>
  <si>
    <t>4. โต๊ะทำงาน</t>
  </si>
  <si>
    <t>ครุภัณฑ์ไฟฟ้าและวิทยุ</t>
  </si>
  <si>
    <t>1. ตู้ลำโพงพร้อมภาคขยาย</t>
  </si>
  <si>
    <t>1. กล้องถ่ายภาพนิ่งระบบดิจิตอล</t>
  </si>
  <si>
    <t>ครุภัณฑ์คอมพิวเตอร์</t>
  </si>
  <si>
    <t>1. เครื่องคอมพิวเตอร์</t>
  </si>
  <si>
    <t>2. เครื่องพิมพ์ชนิดเลเซอร์</t>
  </si>
  <si>
    <t>3. เครื่องพิมพ์ชนิดเลเซอร์</t>
  </si>
  <si>
    <t>4. เครื่องสำรองไฟ</t>
  </si>
  <si>
    <t>5. เครื่องคอมพิวเตอร์</t>
  </si>
  <si>
    <t>6. เครื่องคอมพิวเตอร์</t>
  </si>
  <si>
    <t>7. เครื่องพิมพ์ชนิดเลเซอร์</t>
  </si>
  <si>
    <t>8. เครื่องสำรองไฟ</t>
  </si>
  <si>
    <t>9. เครื่องสำรองไฟ</t>
  </si>
  <si>
    <t>10. Notebook Computer</t>
  </si>
  <si>
    <t>11. Notebook Computer</t>
  </si>
  <si>
    <t>12. เครื่องคอมพิวเตอร์</t>
  </si>
  <si>
    <t>13. Notebook Computer</t>
  </si>
  <si>
    <t>ครุภัณฑ์ยานพาหนะและขนส่ง</t>
  </si>
  <si>
    <t>1. รถบรรทุก (ดีเซล)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</si>
</sst>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87" formatCode="_(&quot;$&quot;* #,##0_);_(&quot;$&quot;* \(#,##0\);_(&quot;$&quot;* &quot;-&quot;_);_(@_)"/>
    <numFmt numFmtId="188" formatCode="_(* #,##0.00_);_(* \(#,##0.00\);_(* &quot;-&quot;??_);_(@_)"/>
    <numFmt numFmtId="190" formatCode="_(* #,##0_);_(* \(#,##0\);_(* &quot;-&quot;??_);_(@_)"/>
    <numFmt numFmtId="191" formatCode="_-* #,##0.00_-;\-* #,##0.00_-;_-* &quot;-&quot;_-;_-@_-"/>
  </numFmts>
  <fonts count="5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sz val="10"/>
      <name val="TH SarabunPSK"/>
      <family val="2"/>
    </font>
    <font>
      <b/>
      <u/>
      <sz val="16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b/>
      <sz val="18"/>
      <color indexed="8"/>
      <name val="TH SarabunPSK"/>
      <family val="2"/>
    </font>
    <font>
      <u/>
      <sz val="16"/>
      <name val="TH SarabunPSK"/>
      <family val="2"/>
    </font>
    <font>
      <sz val="13.5"/>
      <name val="TH SarabunPSK"/>
      <family val="2"/>
    </font>
    <font>
      <sz val="13"/>
      <name val="TH SarabunPSK"/>
      <family val="2"/>
    </font>
    <font>
      <sz val="17"/>
      <name val="TH SarabunPSK"/>
      <family val="2"/>
    </font>
    <font>
      <b/>
      <sz val="17"/>
      <name val="TH SarabunPSK"/>
      <family val="2"/>
    </font>
    <font>
      <sz val="10"/>
      <color rgb="FFFF0000"/>
      <name val="Arial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TH SarabunPSK"/>
      <family val="2"/>
    </font>
    <font>
      <sz val="15"/>
      <color rgb="FFFF0000"/>
      <name val="TH SarabunPSK"/>
      <family val="2"/>
    </font>
    <font>
      <b/>
      <sz val="16"/>
      <color theme="1"/>
      <name val="TH SarabunPSK"/>
      <family val="2"/>
    </font>
    <font>
      <sz val="10"/>
      <color theme="1"/>
      <name val="TH SarabunPSK"/>
      <family val="2"/>
    </font>
    <font>
      <sz val="15.5"/>
      <name val="TH SarabunPSK"/>
      <family val="2"/>
    </font>
    <font>
      <sz val="14.5"/>
      <name val="TH SarabunPSK"/>
      <family val="2"/>
    </font>
    <font>
      <sz val="10"/>
      <color theme="1"/>
      <name val="Arial"/>
      <family val="2"/>
    </font>
    <font>
      <sz val="18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2"/>
      <name val="TH SarabunPSK"/>
      <family val="2"/>
    </font>
    <font>
      <b/>
      <sz val="14.5"/>
      <name val="TH SarabunPSK"/>
      <family val="2"/>
    </font>
    <font>
      <sz val="15"/>
      <color theme="1"/>
      <name val="TH SarabunPSK"/>
      <family val="2"/>
    </font>
    <font>
      <b/>
      <sz val="14.5"/>
      <color theme="1"/>
      <name val="TH SarabunPSK"/>
      <family val="2"/>
    </font>
    <font>
      <sz val="14.5"/>
      <color theme="1"/>
      <name val="TH SarabunPSK"/>
      <family val="2"/>
    </font>
    <font>
      <sz val="14"/>
      <color theme="1"/>
      <name val="TH SarabunPSK"/>
      <family val="2"/>
    </font>
    <font>
      <b/>
      <u val="doubleAccounting"/>
      <sz val="16"/>
      <name val="TH SarabunPSK"/>
      <family val="2"/>
    </font>
    <font>
      <b/>
      <sz val="12"/>
      <name val="TH SarabunPSK"/>
      <family val="2"/>
    </font>
    <font>
      <sz val="12"/>
      <color rgb="FFFF0000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u/>
      <sz val="11"/>
      <name val="TH SarabunPSK"/>
      <family val="2"/>
    </font>
    <font>
      <b/>
      <sz val="10"/>
      <name val="TH SarabunPSK"/>
      <family val="2"/>
    </font>
    <font>
      <b/>
      <sz val="9"/>
      <name val="TH SarabunPSK"/>
      <family val="2"/>
    </font>
    <font>
      <u/>
      <sz val="15"/>
      <name val="TH SarabunPSK"/>
      <family val="2"/>
    </font>
    <font>
      <b/>
      <u/>
      <sz val="11"/>
      <name val="TH SarabunPSK"/>
      <family val="2"/>
    </font>
    <font>
      <b/>
      <sz val="11"/>
      <name val="TH SarabunPSK"/>
      <family val="2"/>
    </font>
    <font>
      <b/>
      <u val="doubleAccounting"/>
      <sz val="15"/>
      <name val="TH SarabunPSK"/>
      <family val="2"/>
    </font>
    <font>
      <b/>
      <sz val="2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188" fontId="1" fillId="0" borderId="0" applyFont="0" applyFill="0" applyBorder="0" applyAlignment="0" applyProtection="0"/>
    <xf numFmtId="187" fontId="3" fillId="0" borderId="0" applyFont="0" applyFill="0" applyBorder="0" applyAlignment="0" applyProtection="0">
      <alignment wrapText="1"/>
    </xf>
    <xf numFmtId="0" fontId="3" fillId="0" borderId="0">
      <alignment wrapText="1"/>
    </xf>
  </cellStyleXfs>
  <cellXfs count="795">
    <xf numFmtId="0" fontId="0" fillId="0" borderId="0" xfId="0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22" fillId="0" borderId="0" xfId="0" applyFont="1"/>
    <xf numFmtId="0" fontId="4" fillId="0" borderId="0" xfId="0" applyFont="1" applyBorder="1"/>
    <xf numFmtId="0" fontId="5" fillId="0" borderId="0" xfId="0" applyFo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9" fillId="0" borderId="0" xfId="0" applyFont="1" applyFill="1"/>
    <xf numFmtId="188" fontId="9" fillId="0" borderId="0" xfId="1" applyFont="1" applyFill="1"/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4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4" fontId="10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Fill="1" applyBorder="1"/>
    <xf numFmtId="188" fontId="9" fillId="0" borderId="0" xfId="1" applyFont="1" applyFill="1" applyBorder="1"/>
    <xf numFmtId="0" fontId="11" fillId="0" borderId="0" xfId="0" applyFont="1"/>
    <xf numFmtId="0" fontId="9" fillId="0" borderId="0" xfId="0" applyFont="1" applyBorder="1" applyAlignment="1"/>
    <xf numFmtId="4" fontId="9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vertical="center"/>
    </xf>
    <xf numFmtId="0" fontId="12" fillId="0" borderId="0" xfId="0" applyFont="1"/>
    <xf numFmtId="0" fontId="8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49" fontId="5" fillId="0" borderId="6" xfId="0" applyNumberFormat="1" applyFont="1" applyBorder="1" applyAlignment="1">
      <alignment horizontal="center"/>
    </xf>
    <xf numFmtId="0" fontId="23" fillId="0" borderId="0" xfId="0" applyFont="1"/>
    <xf numFmtId="0" fontId="4" fillId="0" borderId="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43" fontId="5" fillId="0" borderId="0" xfId="1" applyNumberFormat="1" applyFont="1" applyBorder="1"/>
    <xf numFmtId="0" fontId="5" fillId="0" borderId="0" xfId="0" applyFont="1" applyAlignment="1"/>
    <xf numFmtId="0" fontId="9" fillId="0" borderId="6" xfId="0" applyFont="1" applyBorder="1"/>
    <xf numFmtId="0" fontId="9" fillId="0" borderId="0" xfId="0" applyFont="1" applyAlignment="1">
      <alignment horizontal="center"/>
    </xf>
    <xf numFmtId="188" fontId="5" fillId="0" borderId="6" xfId="1" applyFont="1" applyBorder="1"/>
    <xf numFmtId="43" fontId="5" fillId="0" borderId="6" xfId="1" applyNumberFormat="1" applyFont="1" applyBorder="1"/>
    <xf numFmtId="43" fontId="5" fillId="0" borderId="6" xfId="0" applyNumberFormat="1" applyFont="1" applyBorder="1"/>
    <xf numFmtId="43" fontId="8" fillId="0" borderId="8" xfId="0" applyNumberFormat="1" applyFont="1" applyBorder="1"/>
    <xf numFmtId="43" fontId="8" fillId="0" borderId="16" xfId="0" applyNumberFormat="1" applyFont="1" applyBorder="1"/>
    <xf numFmtId="0" fontId="5" fillId="0" borderId="0" xfId="0" applyFont="1" applyBorder="1"/>
    <xf numFmtId="188" fontId="5" fillId="0" borderId="0" xfId="0" applyNumberFormat="1" applyFont="1"/>
    <xf numFmtId="43" fontId="8" fillId="0" borderId="8" xfId="1" applyNumberFormat="1" applyFont="1" applyBorder="1"/>
    <xf numFmtId="0" fontId="5" fillId="0" borderId="5" xfId="0" applyFont="1" applyBorder="1"/>
    <xf numFmtId="43" fontId="8" fillId="0" borderId="4" xfId="1" applyNumberFormat="1" applyFont="1" applyBorder="1"/>
    <xf numFmtId="0" fontId="24" fillId="0" borderId="0" xfId="0" applyFont="1"/>
    <xf numFmtId="0" fontId="25" fillId="0" borderId="0" xfId="0" applyFont="1"/>
    <xf numFmtId="43" fontId="5" fillId="0" borderId="0" xfId="0" applyNumberFormat="1" applyFont="1"/>
    <xf numFmtId="0" fontId="7" fillId="0" borderId="0" xfId="0" applyFont="1" applyBorder="1"/>
    <xf numFmtId="49" fontId="11" fillId="0" borderId="0" xfId="0" applyNumberFormat="1" applyFont="1" applyBorder="1" applyAlignment="1">
      <alignment horizontal="center"/>
    </xf>
    <xf numFmtId="191" fontId="7" fillId="0" borderId="0" xfId="1" applyNumberFormat="1" applyFont="1" applyFill="1" applyBorder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41" fontId="5" fillId="0" borderId="14" xfId="1" applyNumberFormat="1" applyFont="1" applyBorder="1"/>
    <xf numFmtId="41" fontId="5" fillId="0" borderId="14" xfId="1" applyNumberFormat="1" applyFont="1" applyBorder="1" applyAlignment="1">
      <alignment horizontal="center"/>
    </xf>
    <xf numFmtId="0" fontId="8" fillId="0" borderId="0" xfId="0" applyFont="1" applyBorder="1"/>
    <xf numFmtId="191" fontId="8" fillId="0" borderId="8" xfId="1" applyNumberFormat="1" applyFont="1" applyFill="1" applyBorder="1"/>
    <xf numFmtId="191" fontId="5" fillId="0" borderId="14" xfId="1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vertical="top"/>
    </xf>
    <xf numFmtId="49" fontId="5" fillId="0" borderId="14" xfId="0" applyNumberFormat="1" applyFont="1" applyBorder="1" applyAlignment="1">
      <alignment horizontal="center" vertical="top"/>
    </xf>
    <xf numFmtId="191" fontId="5" fillId="0" borderId="14" xfId="1" applyNumberFormat="1" applyFont="1" applyFill="1" applyBorder="1" applyAlignment="1">
      <alignment vertical="top"/>
    </xf>
    <xf numFmtId="191" fontId="5" fillId="0" borderId="14" xfId="1" applyNumberFormat="1" applyFont="1" applyFill="1" applyBorder="1" applyAlignment="1">
      <alignment horizontal="right" vertical="top"/>
    </xf>
    <xf numFmtId="41" fontId="5" fillId="0" borderId="19" xfId="1" applyNumberFormat="1" applyFont="1" applyFill="1" applyBorder="1" applyAlignment="1"/>
    <xf numFmtId="191" fontId="5" fillId="0" borderId="14" xfId="1" applyNumberFormat="1" applyFont="1" applyFill="1" applyBorder="1" applyAlignment="1">
      <alignment horizontal="center" vertical="center"/>
    </xf>
    <xf numFmtId="188" fontId="5" fillId="0" borderId="14" xfId="1" applyFont="1" applyFill="1" applyBorder="1" applyAlignment="1">
      <alignment vertical="top"/>
    </xf>
    <xf numFmtId="0" fontId="26" fillId="0" borderId="0" xfId="0" applyFont="1" applyFill="1" applyAlignment="1">
      <alignment vertical="top"/>
    </xf>
    <xf numFmtId="0" fontId="8" fillId="0" borderId="4" xfId="0" applyFont="1" applyFill="1" applyBorder="1" applyAlignment="1">
      <alignment vertical="top"/>
    </xf>
    <xf numFmtId="0" fontId="8" fillId="0" borderId="11" xfId="0" applyFont="1" applyFill="1" applyBorder="1" applyAlignment="1">
      <alignment horizontal="center" vertical="top"/>
    </xf>
    <xf numFmtId="43" fontId="8" fillId="0" borderId="4" xfId="1" applyNumberFormat="1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17" fillId="0" borderId="5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43" fontId="8" fillId="0" borderId="6" xfId="1" applyNumberFormat="1" applyFont="1" applyFill="1" applyBorder="1" applyAlignment="1">
      <alignment vertical="top"/>
    </xf>
    <xf numFmtId="43" fontId="8" fillId="0" borderId="6" xfId="1" applyNumberFormat="1" applyFont="1" applyFill="1" applyBorder="1" applyAlignment="1">
      <alignment horizontal="center" vertical="top"/>
    </xf>
    <xf numFmtId="0" fontId="13" fillId="0" borderId="6" xfId="0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vertical="top"/>
    </xf>
    <xf numFmtId="43" fontId="5" fillId="0" borderId="6" xfId="1" applyNumberFormat="1" applyFont="1" applyFill="1" applyBorder="1" applyAlignment="1">
      <alignment vertical="top"/>
    </xf>
    <xf numFmtId="43" fontId="5" fillId="0" borderId="6" xfId="1" applyNumberFormat="1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>
      <alignment horizontal="center" vertical="top"/>
    </xf>
    <xf numFmtId="43" fontId="5" fillId="0" borderId="17" xfId="1" applyNumberFormat="1" applyFont="1" applyFill="1" applyBorder="1" applyAlignment="1">
      <alignment vertical="top"/>
    </xf>
    <xf numFmtId="0" fontId="8" fillId="0" borderId="6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43" fontId="8" fillId="0" borderId="4" xfId="1" applyNumberFormat="1" applyFont="1" applyFill="1" applyBorder="1" applyAlignment="1">
      <alignment vertical="top"/>
    </xf>
    <xf numFmtId="43" fontId="8" fillId="0" borderId="17" xfId="1" applyNumberFormat="1" applyFont="1" applyFill="1" applyBorder="1" applyAlignment="1">
      <alignment vertical="top"/>
    </xf>
    <xf numFmtId="4" fontId="5" fillId="0" borderId="6" xfId="1" applyNumberFormat="1" applyFont="1" applyFill="1" applyBorder="1" applyAlignment="1">
      <alignment vertical="top"/>
    </xf>
    <xf numFmtId="4" fontId="5" fillId="0" borderId="6" xfId="1" applyNumberFormat="1" applyFont="1" applyFill="1" applyBorder="1" applyAlignment="1">
      <alignment horizontal="right" vertical="top"/>
    </xf>
    <xf numFmtId="43" fontId="5" fillId="0" borderId="6" xfId="1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center"/>
    </xf>
    <xf numFmtId="43" fontId="8" fillId="0" borderId="4" xfId="1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43" fontId="14" fillId="0" borderId="0" xfId="0" applyNumberFormat="1" applyFont="1" applyFill="1" applyAlignment="1">
      <alignment vertical="top"/>
    </xf>
    <xf numFmtId="0" fontId="9" fillId="0" borderId="6" xfId="0" applyFont="1" applyFill="1" applyBorder="1" applyAlignment="1">
      <alignment vertical="top"/>
    </xf>
    <xf numFmtId="43" fontId="8" fillId="0" borderId="13" xfId="1" applyNumberFormat="1" applyFont="1" applyFill="1" applyBorder="1" applyAlignment="1">
      <alignment vertical="top"/>
    </xf>
    <xf numFmtId="43" fontId="5" fillId="0" borderId="5" xfId="1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left" vertical="top"/>
    </xf>
    <xf numFmtId="43" fontId="5" fillId="0" borderId="10" xfId="1" applyNumberFormat="1" applyFont="1" applyFill="1" applyBorder="1" applyAlignment="1">
      <alignment vertical="top"/>
    </xf>
    <xf numFmtId="0" fontId="8" fillId="0" borderId="7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43" fontId="8" fillId="0" borderId="0" xfId="1" applyNumberFormat="1" applyFont="1" applyFill="1" applyBorder="1" applyAlignment="1">
      <alignment vertical="top"/>
    </xf>
    <xf numFmtId="4" fontId="5" fillId="0" borderId="6" xfId="0" applyNumberFormat="1" applyFont="1" applyFill="1" applyBorder="1" applyAlignment="1">
      <alignment horizontal="right" vertical="top"/>
    </xf>
    <xf numFmtId="3" fontId="8" fillId="0" borderId="4" xfId="0" applyNumberFormat="1" applyFont="1" applyFill="1" applyBorder="1" applyAlignment="1">
      <alignment horizontal="center" vertical="top" wrapText="1"/>
    </xf>
    <xf numFmtId="4" fontId="8" fillId="0" borderId="4" xfId="1" applyNumberFormat="1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43" fontId="8" fillId="0" borderId="10" xfId="1" applyNumberFormat="1" applyFont="1" applyFill="1" applyBorder="1" applyAlignment="1">
      <alignment vertical="top"/>
    </xf>
    <xf numFmtId="43" fontId="5" fillId="0" borderId="10" xfId="1" applyNumberFormat="1" applyFont="1" applyFill="1" applyBorder="1" applyAlignment="1">
      <alignment horizontal="right" vertical="top"/>
    </xf>
    <xf numFmtId="0" fontId="18" fillId="0" borderId="6" xfId="0" applyFont="1" applyFill="1" applyBorder="1" applyAlignment="1">
      <alignment vertical="top"/>
    </xf>
    <xf numFmtId="43" fontId="5" fillId="0" borderId="7" xfId="1" applyNumberFormat="1" applyFont="1" applyFill="1" applyBorder="1" applyAlignment="1">
      <alignment vertical="top"/>
    </xf>
    <xf numFmtId="4" fontId="5" fillId="0" borderId="20" xfId="1" applyNumberFormat="1" applyFont="1" applyFill="1" applyBorder="1" applyAlignment="1">
      <alignment horizontal="right" vertical="top"/>
    </xf>
    <xf numFmtId="43" fontId="5" fillId="0" borderId="5" xfId="1" applyNumberFormat="1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top"/>
    </xf>
    <xf numFmtId="4" fontId="5" fillId="0" borderId="7" xfId="1" applyNumberFormat="1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43" fontId="5" fillId="0" borderId="0" xfId="1" applyNumberFormat="1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8" fillId="0" borderId="16" xfId="0" applyFont="1" applyFill="1" applyBorder="1" applyAlignment="1">
      <alignment horizontal="center" vertical="top"/>
    </xf>
    <xf numFmtId="4" fontId="9" fillId="0" borderId="10" xfId="1" applyNumberFormat="1" applyFont="1" applyFill="1" applyBorder="1" applyAlignment="1">
      <alignment vertical="top"/>
    </xf>
    <xf numFmtId="4" fontId="9" fillId="0" borderId="0" xfId="1" applyNumberFormat="1" applyFont="1" applyFill="1" applyBorder="1" applyAlignment="1">
      <alignment vertical="top"/>
    </xf>
    <xf numFmtId="3" fontId="8" fillId="0" borderId="4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4" fontId="8" fillId="0" borderId="0" xfId="1" applyNumberFormat="1" applyFont="1" applyFill="1" applyBorder="1" applyAlignment="1">
      <alignment vertical="top"/>
    </xf>
    <xf numFmtId="0" fontId="23" fillId="0" borderId="0" xfId="0" applyFont="1" applyFill="1" applyAlignment="1">
      <alignment vertical="top"/>
    </xf>
    <xf numFmtId="43" fontId="23" fillId="0" borderId="0" xfId="1" applyNumberFormat="1" applyFont="1" applyFill="1" applyAlignment="1">
      <alignment vertical="top"/>
    </xf>
    <xf numFmtId="188" fontId="5" fillId="0" borderId="0" xfId="1" applyFont="1"/>
    <xf numFmtId="188" fontId="4" fillId="0" borderId="0" xfId="1" applyFont="1"/>
    <xf numFmtId="188" fontId="27" fillId="0" borderId="0" xfId="1" applyFont="1" applyFill="1"/>
    <xf numFmtId="0" fontId="5" fillId="0" borderId="0" xfId="0" applyFont="1" applyFill="1" applyBorder="1"/>
    <xf numFmtId="0" fontId="0" fillId="0" borderId="0" xfId="0" applyBorder="1"/>
    <xf numFmtId="188" fontId="5" fillId="0" borderId="0" xfId="1" applyFont="1" applyFill="1" applyBorder="1"/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5" fontId="10" fillId="0" borderId="7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2" fillId="2" borderId="0" xfId="0" applyFont="1" applyFill="1"/>
    <xf numFmtId="0" fontId="8" fillId="2" borderId="15" xfId="0" applyFont="1" applyFill="1" applyBorder="1" applyAlignment="1"/>
    <xf numFmtId="0" fontId="8" fillId="2" borderId="7" xfId="0" applyFont="1" applyFill="1" applyBorder="1" applyAlignment="1">
      <alignment horizontal="center"/>
    </xf>
    <xf numFmtId="188" fontId="5" fillId="2" borderId="7" xfId="1" applyFont="1" applyFill="1" applyBorder="1" applyAlignment="1">
      <alignment horizontal="right"/>
    </xf>
    <xf numFmtId="0" fontId="23" fillId="2" borderId="7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88" fontId="5" fillId="2" borderId="4" xfId="1" applyFont="1" applyFill="1" applyBorder="1"/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/>
    <xf numFmtId="0" fontId="8" fillId="2" borderId="4" xfId="0" applyFont="1" applyFill="1" applyBorder="1"/>
    <xf numFmtId="188" fontId="23" fillId="2" borderId="4" xfId="1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188" fontId="28" fillId="2" borderId="22" xfId="1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188" fontId="5" fillId="2" borderId="0" xfId="1" applyFont="1" applyFill="1"/>
    <xf numFmtId="0" fontId="23" fillId="2" borderId="0" xfId="0" applyFont="1" applyFill="1"/>
    <xf numFmtId="0" fontId="12" fillId="2" borderId="0" xfId="0" applyFont="1" applyFill="1" applyAlignment="1">
      <alignment horizontal="center"/>
    </xf>
    <xf numFmtId="0" fontId="29" fillId="2" borderId="0" xfId="0" applyFont="1" applyFill="1"/>
    <xf numFmtId="0" fontId="8" fillId="0" borderId="4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15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43" fontId="4" fillId="0" borderId="6" xfId="1" applyNumberFormat="1" applyFont="1" applyBorder="1" applyAlignment="1">
      <alignment horizontal="right" vertical="center"/>
    </xf>
    <xf numFmtId="15" fontId="4" fillId="0" borderId="6" xfId="0" applyNumberFormat="1" applyFont="1" applyBorder="1" applyAlignment="1">
      <alignment horizontal="left" vertical="center"/>
    </xf>
    <xf numFmtId="43" fontId="4" fillId="0" borderId="6" xfId="1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43" fontId="4" fillId="0" borderId="7" xfId="1" applyNumberFormat="1" applyFont="1" applyBorder="1" applyAlignment="1">
      <alignment horizontal="center" vertical="center"/>
    </xf>
    <xf numFmtId="43" fontId="15" fillId="0" borderId="22" xfId="1" applyNumberFormat="1" applyFont="1" applyBorder="1"/>
    <xf numFmtId="0" fontId="4" fillId="0" borderId="6" xfId="0" applyFont="1" applyFill="1" applyBorder="1"/>
    <xf numFmtId="0" fontId="4" fillId="0" borderId="6" xfId="0" applyFont="1" applyBorder="1"/>
    <xf numFmtId="0" fontId="12" fillId="0" borderId="6" xfId="0" applyFont="1" applyBorder="1"/>
    <xf numFmtId="0" fontId="12" fillId="0" borderId="7" xfId="0" applyFont="1" applyBorder="1"/>
    <xf numFmtId="0" fontId="4" fillId="0" borderId="7" xfId="0" applyFont="1" applyFill="1" applyBorder="1"/>
    <xf numFmtId="43" fontId="4" fillId="0" borderId="6" xfId="1" applyNumberFormat="1" applyFont="1" applyBorder="1"/>
    <xf numFmtId="0" fontId="4" fillId="0" borderId="7" xfId="0" applyFont="1" applyBorder="1"/>
    <xf numFmtId="0" fontId="12" fillId="0" borderId="7" xfId="0" applyFont="1" applyFill="1" applyBorder="1"/>
    <xf numFmtId="0" fontId="12" fillId="0" borderId="0" xfId="0" applyFont="1" applyBorder="1"/>
    <xf numFmtId="0" fontId="12" fillId="0" borderId="0" xfId="0" applyFont="1" applyFill="1" applyBorder="1"/>
    <xf numFmtId="43" fontId="4" fillId="0" borderId="7" xfId="1" applyNumberFormat="1" applyFont="1" applyBorder="1"/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2" fontId="4" fillId="0" borderId="7" xfId="0" applyNumberFormat="1" applyFont="1" applyBorder="1"/>
    <xf numFmtId="2" fontId="4" fillId="0" borderId="0" xfId="0" applyNumberFormat="1" applyFont="1" applyBorder="1"/>
    <xf numFmtId="43" fontId="4" fillId="0" borderId="0" xfId="1" applyNumberFormat="1" applyFont="1" applyBorder="1"/>
    <xf numFmtId="43" fontId="4" fillId="0" borderId="7" xfId="1" applyNumberFormat="1" applyFont="1" applyBorder="1" applyAlignment="1">
      <alignment horizontal="right" vertical="center"/>
    </xf>
    <xf numFmtId="0" fontId="18" fillId="0" borderId="6" xfId="0" applyFont="1" applyBorder="1" applyAlignment="1">
      <alignment horizontal="left" vertical="center"/>
    </xf>
    <xf numFmtId="15" fontId="18" fillId="0" borderId="6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/>
    <xf numFmtId="0" fontId="19" fillId="0" borderId="6" xfId="0" applyFont="1" applyFill="1" applyBorder="1"/>
    <xf numFmtId="188" fontId="5" fillId="0" borderId="3" xfId="1" applyNumberFormat="1" applyFont="1" applyBorder="1"/>
    <xf numFmtId="0" fontId="28" fillId="0" borderId="0" xfId="0" applyFont="1"/>
    <xf numFmtId="43" fontId="23" fillId="0" borderId="0" xfId="1" applyNumberFormat="1" applyFont="1"/>
    <xf numFmtId="43" fontId="28" fillId="0" borderId="2" xfId="1" applyNumberFormat="1" applyFont="1" applyBorder="1"/>
    <xf numFmtId="0" fontId="20" fillId="0" borderId="0" xfId="0" applyFont="1"/>
    <xf numFmtId="188" fontId="20" fillId="0" borderId="0" xfId="1" applyFont="1"/>
    <xf numFmtId="188" fontId="5" fillId="0" borderId="0" xfId="1" applyFont="1" applyAlignment="1">
      <alignment horizontal="center"/>
    </xf>
    <xf numFmtId="0" fontId="21" fillId="0" borderId="0" xfId="0" applyFont="1" applyAlignment="1">
      <alignment horizontal="center"/>
    </xf>
    <xf numFmtId="188" fontId="8" fillId="0" borderId="2" xfId="0" applyNumberFormat="1" applyFont="1" applyBorder="1" applyAlignment="1">
      <alignment horizontal="center"/>
    </xf>
    <xf numFmtId="188" fontId="11" fillId="0" borderId="0" xfId="0" applyNumberFormat="1" applyFont="1" applyBorder="1"/>
    <xf numFmtId="188" fontId="8" fillId="0" borderId="4" xfId="1" applyFont="1" applyBorder="1" applyAlignment="1">
      <alignment horizontal="center"/>
    </xf>
    <xf numFmtId="0" fontId="5" fillId="0" borderId="10" xfId="0" applyFont="1" applyBorder="1"/>
    <xf numFmtId="0" fontId="5" fillId="0" borderId="15" xfId="0" applyFont="1" applyBorder="1"/>
    <xf numFmtId="0" fontId="11" fillId="0" borderId="0" xfId="0" applyFont="1" applyBorder="1"/>
    <xf numFmtId="0" fontId="8" fillId="0" borderId="0" xfId="0" applyFont="1" applyFill="1" applyAlignment="1">
      <alignment horizontal="left"/>
    </xf>
    <xf numFmtId="188" fontId="5" fillId="0" borderId="0" xfId="1" applyFont="1" applyBorder="1"/>
    <xf numFmtId="188" fontId="5" fillId="0" borderId="5" xfId="1" applyFont="1" applyBorder="1" applyAlignment="1">
      <alignment vertical="center"/>
    </xf>
    <xf numFmtId="188" fontId="5" fillId="0" borderId="5" xfId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188" fontId="5" fillId="0" borderId="6" xfId="1" applyFont="1" applyBorder="1" applyAlignment="1">
      <alignment vertical="center"/>
    </xf>
    <xf numFmtId="188" fontId="5" fillId="0" borderId="6" xfId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88" fontId="5" fillId="0" borderId="25" xfId="1" applyFont="1" applyBorder="1" applyAlignment="1">
      <alignment vertical="center"/>
    </xf>
    <xf numFmtId="188" fontId="5" fillId="0" borderId="25" xfId="1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188" fontId="5" fillId="0" borderId="6" xfId="1" applyFont="1" applyBorder="1" applyAlignment="1">
      <alignment horizontal="left" vertical="center"/>
    </xf>
    <xf numFmtId="43" fontId="5" fillId="0" borderId="6" xfId="0" applyNumberFormat="1" applyFont="1" applyBorder="1" applyAlignment="1">
      <alignment horizontal="center"/>
    </xf>
    <xf numFmtId="0" fontId="5" fillId="0" borderId="25" xfId="0" applyFont="1" applyBorder="1"/>
    <xf numFmtId="188" fontId="5" fillId="0" borderId="25" xfId="1" applyFont="1" applyBorder="1"/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188" fontId="5" fillId="0" borderId="6" xfId="1" applyNumberFormat="1" applyFont="1" applyBorder="1" applyAlignment="1">
      <alignment horizontal="left"/>
    </xf>
    <xf numFmtId="188" fontId="5" fillId="0" borderId="25" xfId="1" applyNumberFormat="1" applyFont="1" applyBorder="1"/>
    <xf numFmtId="188" fontId="5" fillId="0" borderId="6" xfId="1" applyNumberFormat="1" applyFont="1" applyBorder="1"/>
    <xf numFmtId="0" fontId="9" fillId="0" borderId="25" xfId="0" applyFont="1" applyBorder="1" applyAlignment="1">
      <alignment horizontal="center"/>
    </xf>
    <xf numFmtId="0" fontId="5" fillId="0" borderId="26" xfId="0" applyFont="1" applyBorder="1"/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6" xfId="0" applyFont="1" applyBorder="1" applyAlignment="1">
      <alignment horizontal="right" vertical="center"/>
    </xf>
    <xf numFmtId="188" fontId="5" fillId="0" borderId="26" xfId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188" fontId="5" fillId="0" borderId="26" xfId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188" fontId="5" fillId="0" borderId="25" xfId="1" applyFont="1" applyBorder="1" applyAlignment="1">
      <alignment horizontal="left" vertical="center"/>
    </xf>
    <xf numFmtId="0" fontId="5" fillId="0" borderId="27" xfId="0" applyFont="1" applyBorder="1" applyAlignment="1">
      <alignment vertical="center"/>
    </xf>
    <xf numFmtId="188" fontId="5" fillId="0" borderId="26" xfId="1" applyFont="1" applyBorder="1"/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7" xfId="0" applyFont="1" applyBorder="1" applyAlignment="1">
      <alignment vertical="center"/>
    </xf>
    <xf numFmtId="188" fontId="5" fillId="0" borderId="7" xfId="1" applyFont="1" applyBorder="1" applyAlignment="1">
      <alignment horizontal="left" vertical="center"/>
    </xf>
    <xf numFmtId="188" fontId="5" fillId="0" borderId="7" xfId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8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5" fillId="0" borderId="4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188" fontId="5" fillId="0" borderId="11" xfId="1" applyFont="1" applyFill="1" applyBorder="1" applyAlignment="1">
      <alignment horizontal="center"/>
    </xf>
    <xf numFmtId="188" fontId="5" fillId="0" borderId="4" xfId="1" applyFont="1" applyFill="1" applyBorder="1" applyAlignment="1">
      <alignment horizontal="center"/>
    </xf>
    <xf numFmtId="188" fontId="5" fillId="0" borderId="4" xfId="1" applyFont="1" applyBorder="1"/>
    <xf numFmtId="0" fontId="5" fillId="0" borderId="6" xfId="0" applyFont="1" applyFill="1" applyBorder="1" applyAlignment="1">
      <alignment horizontal="left"/>
    </xf>
    <xf numFmtId="188" fontId="5" fillId="0" borderId="5" xfId="1" applyFont="1" applyBorder="1"/>
    <xf numFmtId="0" fontId="5" fillId="0" borderId="20" xfId="0" applyFont="1" applyBorder="1"/>
    <xf numFmtId="188" fontId="5" fillId="0" borderId="7" xfId="1" applyFont="1" applyBorder="1"/>
    <xf numFmtId="188" fontId="5" fillId="0" borderId="20" xfId="1" applyFont="1" applyBorder="1"/>
    <xf numFmtId="188" fontId="5" fillId="0" borderId="17" xfId="1" applyFont="1" applyBorder="1"/>
    <xf numFmtId="49" fontId="5" fillId="0" borderId="5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4" xfId="0" applyFont="1" applyBorder="1"/>
    <xf numFmtId="0" fontId="8" fillId="0" borderId="8" xfId="0" applyFont="1" applyBorder="1" applyAlignment="1">
      <alignment horizontal="center"/>
    </xf>
    <xf numFmtId="188" fontId="8" fillId="0" borderId="8" xfId="1" applyFont="1" applyBorder="1"/>
    <xf numFmtId="0" fontId="5" fillId="0" borderId="17" xfId="0" applyFont="1" applyBorder="1"/>
    <xf numFmtId="188" fontId="8" fillId="0" borderId="7" xfId="1" applyFont="1" applyBorder="1"/>
    <xf numFmtId="0" fontId="5" fillId="0" borderId="23" xfId="0" applyFont="1" applyBorder="1"/>
    <xf numFmtId="0" fontId="8" fillId="0" borderId="9" xfId="0" applyFont="1" applyBorder="1" applyAlignment="1">
      <alignment horizontal="center"/>
    </xf>
    <xf numFmtId="0" fontId="5" fillId="0" borderId="26" xfId="0" applyFont="1" applyBorder="1" applyAlignment="1">
      <alignment vertical="top"/>
    </xf>
    <xf numFmtId="49" fontId="5" fillId="0" borderId="26" xfId="0" applyNumberFormat="1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/>
    </xf>
    <xf numFmtId="43" fontId="8" fillId="0" borderId="0" xfId="1" applyNumberFormat="1" applyFont="1" applyFill="1" applyBorder="1" applyAlignment="1">
      <alignment horizontal="center" vertical="top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Alignment="1"/>
    <xf numFmtId="188" fontId="8" fillId="0" borderId="8" xfId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14" xfId="0" applyFont="1" applyBorder="1" applyAlignment="1">
      <alignment vertical="top"/>
    </xf>
    <xf numFmtId="4" fontId="9" fillId="0" borderId="6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4" fontId="10" fillId="0" borderId="4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5" xfId="0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8" fillId="0" borderId="13" xfId="0" applyFont="1" applyBorder="1"/>
    <xf numFmtId="0" fontId="13" fillId="0" borderId="10" xfId="0" applyFont="1" applyBorder="1"/>
    <xf numFmtId="188" fontId="5" fillId="0" borderId="6" xfId="1" applyFont="1" applyBorder="1" applyAlignment="1">
      <alignment horizontal="right"/>
    </xf>
    <xf numFmtId="0" fontId="5" fillId="0" borderId="0" xfId="0" applyFont="1" applyAlignment="1">
      <alignment horizontal="center"/>
    </xf>
    <xf numFmtId="188" fontId="5" fillId="0" borderId="14" xfId="1" applyFont="1" applyBorder="1" applyAlignment="1">
      <alignment horizontal="center"/>
    </xf>
    <xf numFmtId="188" fontId="5" fillId="0" borderId="10" xfId="1" applyFont="1" applyBorder="1" applyAlignment="1">
      <alignment horizontal="right"/>
    </xf>
    <xf numFmtId="0" fontId="8" fillId="0" borderId="0" xfId="0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26" fillId="0" borderId="0" xfId="0" applyFont="1" applyFill="1" applyAlignment="1">
      <alignment vertical="center"/>
    </xf>
    <xf numFmtId="0" fontId="14" fillId="0" borderId="0" xfId="0" applyNumberFormat="1" applyFont="1" applyFill="1" applyAlignment="1">
      <alignment vertical="top"/>
    </xf>
    <xf numFmtId="43" fontId="8" fillId="0" borderId="0" xfId="1" applyNumberFormat="1" applyFont="1" applyFill="1" applyBorder="1" applyAlignment="1">
      <alignment horizontal="right" vertical="top"/>
    </xf>
    <xf numFmtId="43" fontId="5" fillId="0" borderId="7" xfId="1" applyNumberFormat="1" applyFont="1" applyFill="1" applyBorder="1" applyAlignment="1">
      <alignment horizontal="center" vertical="top"/>
    </xf>
    <xf numFmtId="0" fontId="30" fillId="0" borderId="6" xfId="0" applyFont="1" applyFill="1" applyBorder="1" applyAlignment="1"/>
    <xf numFmtId="43" fontId="10" fillId="0" borderId="4" xfId="1" applyNumberFormat="1" applyFont="1" applyFill="1" applyBorder="1" applyAlignment="1">
      <alignment vertical="top"/>
    </xf>
    <xf numFmtId="43" fontId="10" fillId="0" borderId="4" xfId="1" applyNumberFormat="1" applyFont="1" applyFill="1" applyBorder="1" applyAlignment="1">
      <alignment horizontal="center" vertical="top"/>
    </xf>
    <xf numFmtId="4" fontId="14" fillId="0" borderId="0" xfId="0" applyNumberFormat="1" applyFont="1" applyFill="1" applyAlignment="1">
      <alignment vertical="top"/>
    </xf>
    <xf numFmtId="43" fontId="10" fillId="0" borderId="6" xfId="1" applyNumberFormat="1" applyFont="1" applyFill="1" applyBorder="1" applyAlignment="1">
      <alignment vertical="top"/>
    </xf>
    <xf numFmtId="43" fontId="9" fillId="0" borderId="6" xfId="1" applyNumberFormat="1" applyFont="1" applyFill="1" applyBorder="1" applyAlignment="1">
      <alignment vertical="top"/>
    </xf>
    <xf numFmtId="4" fontId="8" fillId="0" borderId="3" xfId="1" applyNumberFormat="1" applyFont="1" applyFill="1" applyBorder="1" applyAlignment="1">
      <alignment horizontal="right" vertical="top"/>
    </xf>
    <xf numFmtId="0" fontId="31" fillId="0" borderId="6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43" fontId="10" fillId="0" borderId="21" xfId="1" applyNumberFormat="1" applyFont="1" applyFill="1" applyBorder="1" applyAlignment="1">
      <alignment horizontal="center" vertical="top"/>
    </xf>
    <xf numFmtId="4" fontId="8" fillId="0" borderId="7" xfId="0" applyNumberFormat="1" applyFont="1" applyFill="1" applyBorder="1" applyAlignment="1">
      <alignment horizontal="right" vertical="top"/>
    </xf>
    <xf numFmtId="3" fontId="8" fillId="0" borderId="6" xfId="0" applyNumberFormat="1" applyFont="1" applyFill="1" applyBorder="1" applyAlignment="1">
      <alignment horizontal="left" vertical="top" wrapText="1"/>
    </xf>
    <xf numFmtId="4" fontId="8" fillId="0" borderId="6" xfId="0" applyNumberFormat="1" applyFont="1" applyFill="1" applyBorder="1" applyAlignment="1">
      <alignment horizontal="right" vertical="top"/>
    </xf>
    <xf numFmtId="0" fontId="26" fillId="0" borderId="0" xfId="0" applyFont="1" applyFill="1" applyAlignment="1">
      <alignment horizontal="center"/>
    </xf>
    <xf numFmtId="0" fontId="9" fillId="0" borderId="10" xfId="0" applyFont="1" applyFill="1" applyBorder="1" applyAlignment="1">
      <alignment vertical="top"/>
    </xf>
    <xf numFmtId="4" fontId="8" fillId="0" borderId="6" xfId="1" applyNumberFormat="1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top" wrapText="1"/>
    </xf>
    <xf numFmtId="43" fontId="8" fillId="0" borderId="7" xfId="1" applyNumberFormat="1" applyFont="1" applyFill="1" applyBorder="1" applyAlignment="1">
      <alignment vertical="top"/>
    </xf>
    <xf numFmtId="190" fontId="5" fillId="0" borderId="0" xfId="1" applyNumberFormat="1" applyFont="1" applyBorder="1" applyAlignment="1">
      <alignment vertical="center"/>
    </xf>
    <xf numFmtId="43" fontId="5" fillId="0" borderId="0" xfId="1" applyNumberFormat="1" applyFont="1" applyFill="1" applyAlignment="1">
      <alignment vertical="top"/>
    </xf>
    <xf numFmtId="43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4" fontId="5" fillId="0" borderId="0" xfId="1" applyNumberFormat="1" applyFont="1" applyFill="1" applyBorder="1" applyAlignment="1">
      <alignment vertical="top"/>
    </xf>
    <xf numFmtId="43" fontId="23" fillId="0" borderId="6" xfId="1" applyNumberFormat="1" applyFont="1" applyBorder="1"/>
    <xf numFmtId="188" fontId="23" fillId="0" borderId="6" xfId="1" applyFont="1" applyBorder="1"/>
    <xf numFmtId="188" fontId="23" fillId="0" borderId="6" xfId="1" applyFont="1" applyBorder="1" applyAlignment="1">
      <alignment horizontal="right"/>
    </xf>
    <xf numFmtId="43" fontId="28" fillId="0" borderId="5" xfId="1" applyNumberFormat="1" applyFont="1" applyBorder="1"/>
    <xf numFmtId="188" fontId="23" fillId="0" borderId="4" xfId="1" applyFont="1" applyBorder="1"/>
    <xf numFmtId="43" fontId="28" fillId="0" borderId="8" xfId="1" applyNumberFormat="1" applyFont="1" applyBorder="1"/>
    <xf numFmtId="43" fontId="28" fillId="0" borderId="0" xfId="1" applyNumberFormat="1" applyFont="1" applyBorder="1"/>
    <xf numFmtId="0" fontId="23" fillId="0" borderId="5" xfId="0" applyFont="1" applyBorder="1"/>
    <xf numFmtId="43" fontId="28" fillId="0" borderId="4" xfId="1" applyNumberFormat="1" applyFont="1" applyBorder="1"/>
    <xf numFmtId="43" fontId="23" fillId="0" borderId="4" xfId="1" applyNumberFormat="1" applyFont="1" applyBorder="1"/>
    <xf numFmtId="43" fontId="23" fillId="0" borderId="7" xfId="1" applyNumberFormat="1" applyFont="1" applyBorder="1"/>
    <xf numFmtId="43" fontId="23" fillId="0" borderId="0" xfId="1" applyNumberFormat="1" applyFont="1" applyBorder="1"/>
    <xf numFmtId="0" fontId="32" fillId="0" borderId="0" xfId="0" applyFont="1"/>
    <xf numFmtId="0" fontId="23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34" fillId="0" borderId="0" xfId="0" applyFont="1" applyAlignment="1"/>
    <xf numFmtId="43" fontId="28" fillId="0" borderId="24" xfId="1" applyNumberFormat="1" applyFont="1" applyFill="1" applyBorder="1"/>
    <xf numFmtId="43" fontId="28" fillId="0" borderId="0" xfId="1" applyNumberFormat="1" applyFont="1" applyFill="1" applyBorder="1"/>
    <xf numFmtId="188" fontId="28" fillId="0" borderId="24" xfId="1" applyFont="1" applyBorder="1" applyAlignment="1">
      <alignment horizontal="center"/>
    </xf>
    <xf numFmtId="0" fontId="34" fillId="0" borderId="0" xfId="0" applyFont="1" applyBorder="1" applyAlignment="1"/>
    <xf numFmtId="0" fontId="28" fillId="0" borderId="0" xfId="0" applyFont="1" applyAlignment="1"/>
    <xf numFmtId="43" fontId="23" fillId="0" borderId="0" xfId="0" applyNumberFormat="1" applyFont="1" applyFill="1"/>
    <xf numFmtId="43" fontId="23" fillId="0" borderId="0" xfId="0" applyNumberFormat="1" applyFont="1" applyFill="1" applyBorder="1"/>
    <xf numFmtId="188" fontId="23" fillId="0" borderId="0" xfId="1" applyFont="1"/>
    <xf numFmtId="43" fontId="23" fillId="0" borderId="0" xfId="1" applyNumberFormat="1" applyFont="1" applyFill="1" applyBorder="1"/>
    <xf numFmtId="43" fontId="28" fillId="0" borderId="0" xfId="1" applyNumberFormat="1" applyFont="1"/>
    <xf numFmtId="0" fontId="35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23" fillId="0" borderId="0" xfId="0" applyFont="1" applyBorder="1" applyAlignment="1"/>
    <xf numFmtId="43" fontId="23" fillId="0" borderId="3" xfId="1" applyNumberFormat="1" applyFont="1" applyBorder="1"/>
    <xf numFmtId="43" fontId="28" fillId="0" borderId="3" xfId="1" applyNumberFormat="1" applyFont="1" applyBorder="1"/>
    <xf numFmtId="0" fontId="32" fillId="0" borderId="0" xfId="0" applyFont="1" applyBorder="1"/>
    <xf numFmtId="0" fontId="19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1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left" vertical="center"/>
    </xf>
    <xf numFmtId="188" fontId="4" fillId="0" borderId="0" xfId="1" applyFont="1" applyFill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/>
    </xf>
    <xf numFmtId="4" fontId="37" fillId="0" borderId="4" xfId="0" applyNumberFormat="1" applyFont="1" applyBorder="1" applyAlignment="1">
      <alignment horizontal="right" vertical="center"/>
    </xf>
    <xf numFmtId="0" fontId="31" fillId="0" borderId="4" xfId="0" applyFont="1" applyBorder="1" applyAlignment="1">
      <alignment horizontal="center" vertical="center"/>
    </xf>
    <xf numFmtId="0" fontId="9" fillId="0" borderId="17" xfId="0" applyFont="1" applyBorder="1"/>
    <xf numFmtId="0" fontId="8" fillId="0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88" fontId="23" fillId="0" borderId="2" xfId="1" applyFont="1" applyBorder="1"/>
    <xf numFmtId="188" fontId="23" fillId="0" borderId="0" xfId="1" applyFont="1" applyBorder="1"/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188" fontId="38" fillId="0" borderId="0" xfId="1" applyFont="1"/>
    <xf numFmtId="188" fontId="38" fillId="0" borderId="0" xfId="1" applyFont="1" applyBorder="1"/>
    <xf numFmtId="43" fontId="39" fillId="0" borderId="2" xfId="1" applyNumberFormat="1" applyFont="1" applyBorder="1"/>
    <xf numFmtId="43" fontId="39" fillId="0" borderId="0" xfId="1" applyNumberFormat="1" applyFont="1" applyBorder="1"/>
    <xf numFmtId="0" fontId="31" fillId="0" borderId="0" xfId="0" applyFont="1"/>
    <xf numFmtId="0" fontId="31" fillId="0" borderId="0" xfId="0" applyFont="1" applyBorder="1"/>
    <xf numFmtId="0" fontId="31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188" fontId="40" fillId="0" borderId="0" xfId="1" applyFont="1" applyBorder="1"/>
    <xf numFmtId="43" fontId="40" fillId="0" borderId="0" xfId="1" applyNumberFormat="1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188" fontId="23" fillId="0" borderId="0" xfId="1" applyFont="1" applyAlignment="1">
      <alignment horizontal="center"/>
    </xf>
    <xf numFmtId="43" fontId="28" fillId="0" borderId="11" xfId="1" applyNumberFormat="1" applyFont="1" applyBorder="1"/>
    <xf numFmtId="43" fontId="28" fillId="0" borderId="24" xfId="1" applyNumberFormat="1" applyFont="1" applyBorder="1"/>
    <xf numFmtId="0" fontId="41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/>
    <xf numFmtId="188" fontId="4" fillId="0" borderId="0" xfId="1" applyFont="1" applyBorder="1"/>
    <xf numFmtId="188" fontId="5" fillId="0" borderId="0" xfId="1" applyFont="1" applyAlignment="1">
      <alignment vertical="center"/>
    </xf>
    <xf numFmtId="188" fontId="5" fillId="0" borderId="0" xfId="1" applyFont="1" applyBorder="1" applyAlignment="1">
      <alignment vertical="center"/>
    </xf>
    <xf numFmtId="0" fontId="18" fillId="0" borderId="0" xfId="0" applyFont="1"/>
    <xf numFmtId="188" fontId="5" fillId="0" borderId="0" xfId="1" applyFont="1" applyBorder="1" applyAlignment="1">
      <alignment horizontal="center"/>
    </xf>
    <xf numFmtId="188" fontId="8" fillId="0" borderId="0" xfId="0" applyNumberFormat="1" applyFont="1" applyBorder="1" applyAlignment="1">
      <alignment horizontal="center"/>
    </xf>
    <xf numFmtId="190" fontId="5" fillId="0" borderId="0" xfId="1" applyNumberFormat="1" applyFont="1" applyBorder="1" applyAlignment="1">
      <alignment horizontal="right"/>
    </xf>
    <xf numFmtId="190" fontId="8" fillId="0" borderId="0" xfId="1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188" fontId="5" fillId="0" borderId="0" xfId="1" applyNumberFormat="1" applyFont="1" applyBorder="1" applyAlignment="1">
      <alignment vertical="center"/>
    </xf>
    <xf numFmtId="188" fontId="5" fillId="0" borderId="0" xfId="1" applyNumberFormat="1" applyFont="1" applyBorder="1" applyAlignment="1"/>
    <xf numFmtId="188" fontId="5" fillId="0" borderId="0" xfId="1" applyNumberFormat="1" applyFont="1" applyBorder="1" applyAlignment="1">
      <alignment horizontal="left"/>
    </xf>
    <xf numFmtId="0" fontId="5" fillId="0" borderId="0" xfId="0" applyFont="1" applyBorder="1" applyAlignment="1"/>
    <xf numFmtId="188" fontId="9" fillId="0" borderId="0" xfId="1" applyNumberFormat="1" applyFont="1" applyBorder="1" applyAlignment="1"/>
    <xf numFmtId="188" fontId="8" fillId="0" borderId="0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88" fontId="36" fillId="0" borderId="0" xfId="1" applyFont="1"/>
    <xf numFmtId="188" fontId="9" fillId="0" borderId="0" xfId="1" applyFont="1"/>
    <xf numFmtId="0" fontId="8" fillId="0" borderId="0" xfId="0" applyFont="1" applyAlignment="1">
      <alignment vertical="center"/>
    </xf>
    <xf numFmtId="188" fontId="36" fillId="0" borderId="0" xfId="1" applyFont="1" applyBorder="1"/>
    <xf numFmtId="0" fontId="1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36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188" fontId="36" fillId="0" borderId="10" xfId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6" fillId="0" borderId="25" xfId="0" applyFont="1" applyBorder="1" applyAlignment="1">
      <alignment horizontal="center" vertical="center"/>
    </xf>
    <xf numFmtId="188" fontId="4" fillId="0" borderId="25" xfId="1" applyNumberFormat="1" applyFont="1" applyBorder="1"/>
    <xf numFmtId="0" fontId="4" fillId="0" borderId="26" xfId="0" applyFont="1" applyBorder="1"/>
    <xf numFmtId="0" fontId="5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188" fontId="5" fillId="0" borderId="17" xfId="1" applyFont="1" applyBorder="1" applyAlignment="1">
      <alignment vertical="center"/>
    </xf>
    <xf numFmtId="0" fontId="4" fillId="0" borderId="25" xfId="0" applyFont="1" applyBorder="1"/>
    <xf numFmtId="0" fontId="11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5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188" fontId="5" fillId="0" borderId="7" xfId="1" applyNumberFormat="1" applyFont="1" applyBorder="1"/>
    <xf numFmtId="188" fontId="5" fillId="0" borderId="7" xfId="1" applyFont="1" applyBorder="1" applyAlignment="1"/>
    <xf numFmtId="188" fontId="8" fillId="0" borderId="4" xfId="1" applyFont="1" applyBorder="1" applyAlignment="1"/>
    <xf numFmtId="188" fontId="43" fillId="0" borderId="0" xfId="1" applyFont="1"/>
    <xf numFmtId="188" fontId="8" fillId="0" borderId="0" xfId="1" applyFont="1" applyBorder="1" applyAlignment="1"/>
    <xf numFmtId="0" fontId="15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" fillId="0" borderId="0" xfId="0" applyFont="1"/>
    <xf numFmtId="0" fontId="4" fillId="0" borderId="25" xfId="0" applyFont="1" applyBorder="1" applyAlignment="1">
      <alignment vertical="center"/>
    </xf>
    <xf numFmtId="188" fontId="5" fillId="0" borderId="27" xfId="1" applyFont="1" applyBorder="1" applyAlignment="1">
      <alignment vertical="center"/>
    </xf>
    <xf numFmtId="188" fontId="44" fillId="0" borderId="0" xfId="1" applyFont="1"/>
    <xf numFmtId="188" fontId="9" fillId="0" borderId="17" xfId="1" applyFont="1" applyBorder="1" applyAlignment="1">
      <alignment vertical="center"/>
    </xf>
    <xf numFmtId="188" fontId="5" fillId="0" borderId="20" xfId="1" applyFont="1" applyBorder="1" applyAlignment="1">
      <alignment vertical="center"/>
    </xf>
    <xf numFmtId="188" fontId="10" fillId="0" borderId="4" xfId="1" applyFont="1" applyBorder="1" applyAlignment="1">
      <alignment vertical="center"/>
    </xf>
    <xf numFmtId="188" fontId="10" fillId="0" borderId="0" xfId="1" applyFont="1" applyBorder="1" applyAlignment="1">
      <alignment vertical="center"/>
    </xf>
    <xf numFmtId="188" fontId="8" fillId="0" borderId="4" xfId="1" applyFont="1" applyBorder="1" applyAlignment="1">
      <alignment vertical="center"/>
    </xf>
    <xf numFmtId="188" fontId="8" fillId="0" borderId="0" xfId="1" applyFont="1" applyBorder="1" applyAlignment="1">
      <alignment vertical="center"/>
    </xf>
    <xf numFmtId="188" fontId="8" fillId="0" borderId="4" xfId="1" applyNumberFormat="1" applyFont="1" applyBorder="1" applyAlignment="1">
      <alignment horizontal="center"/>
    </xf>
    <xf numFmtId="188" fontId="5" fillId="0" borderId="5" xfId="1" applyNumberFormat="1" applyFont="1" applyBorder="1" applyAlignment="1">
      <alignment vertical="center"/>
    </xf>
    <xf numFmtId="188" fontId="5" fillId="0" borderId="5" xfId="1" applyNumberFormat="1" applyFont="1" applyBorder="1" applyAlignment="1">
      <alignment horizontal="center" vertical="center"/>
    </xf>
    <xf numFmtId="188" fontId="5" fillId="0" borderId="6" xfId="1" applyNumberFormat="1" applyFont="1" applyBorder="1" applyAlignment="1">
      <alignment vertical="center"/>
    </xf>
    <xf numFmtId="188" fontId="5" fillId="0" borderId="6" xfId="1" applyNumberFormat="1" applyFont="1" applyBorder="1" applyAlignment="1">
      <alignment horizontal="center" vertical="center"/>
    </xf>
    <xf numFmtId="188" fontId="5" fillId="0" borderId="25" xfId="1" applyNumberFormat="1" applyFont="1" applyBorder="1" applyAlignment="1">
      <alignment vertical="center"/>
    </xf>
    <xf numFmtId="188" fontId="5" fillId="0" borderId="25" xfId="1" applyNumberFormat="1" applyFont="1" applyBorder="1" applyAlignment="1">
      <alignment horizontal="center" vertical="center"/>
    </xf>
    <xf numFmtId="188" fontId="5" fillId="0" borderId="6" xfId="1" applyNumberFormat="1" applyFont="1" applyBorder="1" applyAlignment="1">
      <alignment horizontal="left" vertical="center"/>
    </xf>
    <xf numFmtId="188" fontId="5" fillId="0" borderId="7" xfId="1" applyNumberFormat="1" applyFont="1" applyBorder="1" applyAlignment="1">
      <alignment vertical="center"/>
    </xf>
    <xf numFmtId="188" fontId="5" fillId="0" borderId="7" xfId="1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88" fontId="5" fillId="0" borderId="7" xfId="1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188" fontId="5" fillId="0" borderId="26" xfId="1" applyNumberFormat="1" applyFont="1" applyBorder="1" applyAlignment="1">
      <alignment vertical="center"/>
    </xf>
    <xf numFmtId="188" fontId="5" fillId="0" borderId="26" xfId="1" applyNumberFormat="1" applyFont="1" applyBorder="1" applyAlignment="1">
      <alignment horizontal="center" vertical="center"/>
    </xf>
    <xf numFmtId="188" fontId="5" fillId="0" borderId="25" xfId="1" applyNumberFormat="1" applyFont="1" applyBorder="1" applyAlignment="1">
      <alignment horizontal="left" vertical="center"/>
    </xf>
    <xf numFmtId="188" fontId="5" fillId="0" borderId="26" xfId="1" applyNumberFormat="1" applyFont="1" applyBorder="1"/>
    <xf numFmtId="188" fontId="8" fillId="0" borderId="16" xfId="1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8" fontId="5" fillId="0" borderId="7" xfId="1" applyNumberFormat="1" applyFont="1" applyBorder="1" applyAlignment="1">
      <alignment horizontal="left" vertical="center"/>
    </xf>
    <xf numFmtId="0" fontId="10" fillId="0" borderId="0" xfId="0" applyFont="1" applyBorder="1"/>
    <xf numFmtId="0" fontId="36" fillId="0" borderId="0" xfId="0" applyFont="1" applyBorder="1"/>
    <xf numFmtId="43" fontId="48" fillId="0" borderId="2" xfId="0" applyNumberFormat="1" applyFont="1" applyBorder="1"/>
    <xf numFmtId="188" fontId="12" fillId="0" borderId="3" xfId="1" applyNumberFormat="1" applyFont="1" applyBorder="1"/>
    <xf numFmtId="188" fontId="48" fillId="0" borderId="0" xfId="1" applyNumberFormat="1" applyFont="1" applyBorder="1"/>
    <xf numFmtId="43" fontId="12" fillId="0" borderId="0" xfId="1" applyNumberFormat="1" applyFont="1"/>
    <xf numFmtId="43" fontId="12" fillId="0" borderId="0" xfId="0" applyNumberFormat="1" applyFont="1" applyBorder="1"/>
    <xf numFmtId="43" fontId="12" fillId="0" borderId="3" xfId="0" applyNumberFormat="1" applyFont="1" applyBorder="1"/>
    <xf numFmtId="43" fontId="49" fillId="0" borderId="2" xfId="0" applyNumberFormat="1" applyFont="1" applyBorder="1"/>
    <xf numFmtId="0" fontId="8" fillId="0" borderId="12" xfId="0" applyFont="1" applyBorder="1"/>
    <xf numFmtId="0" fontId="8" fillId="0" borderId="23" xfId="0" applyFont="1" applyBorder="1"/>
    <xf numFmtId="0" fontId="4" fillId="0" borderId="10" xfId="0" applyFont="1" applyBorder="1"/>
    <xf numFmtId="0" fontId="4" fillId="0" borderId="17" xfId="0" applyFont="1" applyBorder="1"/>
    <xf numFmtId="0" fontId="15" fillId="0" borderId="0" xfId="0" applyFont="1" applyBorder="1"/>
    <xf numFmtId="0" fontId="15" fillId="0" borderId="17" xfId="0" applyFont="1" applyBorder="1"/>
    <xf numFmtId="0" fontId="8" fillId="0" borderId="3" xfId="0" applyFont="1" applyBorder="1"/>
    <xf numFmtId="0" fontId="8" fillId="0" borderId="20" xfId="0" applyFont="1" applyBorder="1"/>
    <xf numFmtId="188" fontId="48" fillId="0" borderId="13" xfId="1" applyNumberFormat="1" applyFont="1" applyBorder="1"/>
    <xf numFmtId="188" fontId="48" fillId="0" borderId="12" xfId="1" applyNumberFormat="1" applyFont="1" applyBorder="1"/>
    <xf numFmtId="188" fontId="48" fillId="0" borderId="23" xfId="1" applyNumberFormat="1" applyFont="1" applyBorder="1"/>
    <xf numFmtId="188" fontId="12" fillId="0" borderId="10" xfId="1" applyNumberFormat="1" applyFont="1" applyBorder="1"/>
    <xf numFmtId="188" fontId="12" fillId="0" borderId="0" xfId="1" applyNumberFormat="1" applyFont="1" applyBorder="1"/>
    <xf numFmtId="188" fontId="12" fillId="0" borderId="17" xfId="1" applyNumberFormat="1" applyFont="1" applyBorder="1"/>
    <xf numFmtId="188" fontId="12" fillId="0" borderId="15" xfId="1" applyNumberFormat="1" applyFont="1" applyBorder="1"/>
    <xf numFmtId="188" fontId="12" fillId="0" borderId="20" xfId="1" applyNumberFormat="1" applyFont="1" applyBorder="1"/>
    <xf numFmtId="188" fontId="48" fillId="0" borderId="17" xfId="1" applyNumberFormat="1" applyFont="1" applyBorder="1"/>
    <xf numFmtId="188" fontId="48" fillId="0" borderId="10" xfId="1" applyNumberFormat="1" applyFont="1" applyBorder="1"/>
    <xf numFmtId="188" fontId="48" fillId="0" borderId="9" xfId="1" applyNumberFormat="1" applyFont="1" applyBorder="1"/>
    <xf numFmtId="188" fontId="48" fillId="0" borderId="15" xfId="1" applyNumberFormat="1" applyFont="1" applyBorder="1"/>
    <xf numFmtId="188" fontId="48" fillId="0" borderId="20" xfId="1" applyNumberFormat="1" applyFont="1" applyBorder="1"/>
    <xf numFmtId="188" fontId="48" fillId="0" borderId="3" xfId="1" applyNumberFormat="1" applyFont="1" applyBorder="1"/>
    <xf numFmtId="0" fontId="10" fillId="0" borderId="12" xfId="0" applyFont="1" applyBorder="1"/>
    <xf numFmtId="0" fontId="45" fillId="0" borderId="10" xfId="0" applyFont="1" applyBorder="1"/>
    <xf numFmtId="0" fontId="47" fillId="0" borderId="10" xfId="0" applyFont="1" applyBorder="1"/>
    <xf numFmtId="0" fontId="15" fillId="0" borderId="0" xfId="0" applyFont="1" applyAlignment="1">
      <alignment horizontal="center" vertical="center"/>
    </xf>
    <xf numFmtId="188" fontId="49" fillId="0" borderId="9" xfId="1" applyNumberFormat="1" applyFont="1" applyBorder="1"/>
    <xf numFmtId="0" fontId="18" fillId="0" borderId="0" xfId="0" applyFont="1" applyBorder="1"/>
    <xf numFmtId="0" fontId="8" fillId="0" borderId="0" xfId="0" applyFont="1" applyAlignment="1">
      <alignment horizontal="left"/>
    </xf>
    <xf numFmtId="188" fontId="8" fillId="0" borderId="0" xfId="1" applyFont="1" applyBorder="1"/>
    <xf numFmtId="0" fontId="4" fillId="0" borderId="5" xfId="0" applyFont="1" applyFill="1" applyBorder="1" applyAlignment="1">
      <alignment horizontal="center" vertical="center"/>
    </xf>
    <xf numFmtId="15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12" fillId="0" borderId="5" xfId="0" applyFont="1" applyBorder="1"/>
    <xf numFmtId="43" fontId="4" fillId="0" borderId="0" xfId="1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50" fillId="0" borderId="7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/>
    </xf>
    <xf numFmtId="0" fontId="46" fillId="0" borderId="7" xfId="0" applyFont="1" applyBorder="1" applyAlignment="1">
      <alignment horizontal="left" vertical="center"/>
    </xf>
    <xf numFmtId="43" fontId="46" fillId="0" borderId="7" xfId="1" applyNumberFormat="1" applyFont="1" applyBorder="1" applyAlignment="1">
      <alignment horizontal="right" vertical="center"/>
    </xf>
    <xf numFmtId="0" fontId="46" fillId="0" borderId="7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43" fontId="46" fillId="0" borderId="0" xfId="1" applyNumberFormat="1" applyFont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43" fontId="15" fillId="0" borderId="0" xfId="1" applyNumberFormat="1" applyFont="1" applyBorder="1"/>
    <xf numFmtId="43" fontId="4" fillId="0" borderId="20" xfId="1" applyNumberFormat="1" applyFont="1" applyBorder="1" applyAlignment="1">
      <alignment horizontal="right" vertical="center"/>
    </xf>
    <xf numFmtId="43" fontId="4" fillId="0" borderId="17" xfId="1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/>
    <xf numFmtId="0" fontId="15" fillId="0" borderId="13" xfId="0" applyFont="1" applyBorder="1"/>
    <xf numFmtId="0" fontId="15" fillId="0" borderId="10" xfId="0" applyFont="1" applyBorder="1"/>
    <xf numFmtId="0" fontId="51" fillId="0" borderId="10" xfId="0" applyFont="1" applyBorder="1"/>
    <xf numFmtId="0" fontId="14" fillId="0" borderId="10" xfId="0" applyFont="1" applyBorder="1"/>
    <xf numFmtId="0" fontId="8" fillId="0" borderId="17" xfId="0" applyFont="1" applyBorder="1"/>
    <xf numFmtId="188" fontId="8" fillId="0" borderId="15" xfId="1" applyNumberFormat="1" applyFont="1" applyBorder="1"/>
    <xf numFmtId="188" fontId="8" fillId="0" borderId="20" xfId="1" applyNumberFormat="1" applyFont="1" applyBorder="1"/>
    <xf numFmtId="0" fontId="5" fillId="0" borderId="3" xfId="0" applyFont="1" applyBorder="1"/>
    <xf numFmtId="188" fontId="52" fillId="0" borderId="10" xfId="1" applyNumberFormat="1" applyFont="1" applyBorder="1"/>
    <xf numFmtId="188" fontId="52" fillId="0" borderId="0" xfId="1" applyNumberFormat="1" applyFont="1" applyBorder="1"/>
    <xf numFmtId="188" fontId="14" fillId="0" borderId="10" xfId="1" applyNumberFormat="1" applyFont="1" applyBorder="1"/>
    <xf numFmtId="188" fontId="14" fillId="0" borderId="0" xfId="1" applyNumberFormat="1" applyFont="1" applyBorder="1"/>
    <xf numFmtId="188" fontId="14" fillId="0" borderId="17" xfId="1" applyNumberFormat="1" applyFont="1" applyBorder="1"/>
    <xf numFmtId="188" fontId="14" fillId="0" borderId="3" xfId="1" applyNumberFormat="1" applyFont="1" applyBorder="1"/>
    <xf numFmtId="188" fontId="14" fillId="0" borderId="20" xfId="1" applyNumberFormat="1" applyFont="1" applyBorder="1"/>
    <xf numFmtId="188" fontId="52" fillId="0" borderId="17" xfId="1" applyNumberFormat="1" applyFont="1" applyBorder="1"/>
    <xf numFmtId="188" fontId="52" fillId="0" borderId="9" xfId="1" applyNumberFormat="1" applyFont="1" applyBorder="1"/>
    <xf numFmtId="188" fontId="5" fillId="0" borderId="10" xfId="1" applyFont="1" applyBorder="1"/>
    <xf numFmtId="188" fontId="5" fillId="0" borderId="15" xfId="1" applyFont="1" applyBorder="1"/>
    <xf numFmtId="0" fontId="8" fillId="0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5" xfId="1" applyNumberFormat="1" applyFont="1" applyBorder="1" applyAlignment="1">
      <alignment horizontal="center" vertical="center"/>
    </xf>
    <xf numFmtId="43" fontId="23" fillId="0" borderId="23" xfId="1" applyNumberFormat="1" applyFont="1" applyBorder="1"/>
    <xf numFmtId="43" fontId="23" fillId="0" borderId="5" xfId="1" applyNumberFormat="1" applyFont="1" applyBorder="1"/>
    <xf numFmtId="0" fontId="23" fillId="0" borderId="6" xfId="0" applyFont="1" applyBorder="1"/>
    <xf numFmtId="0" fontId="23" fillId="0" borderId="10" xfId="0" applyFont="1" applyBorder="1" applyAlignment="1">
      <alignment horizontal="center" vertical="center"/>
    </xf>
    <xf numFmtId="0" fontId="23" fillId="0" borderId="7" xfId="1" applyNumberFormat="1" applyFont="1" applyBorder="1" applyAlignment="1">
      <alignment horizontal="center" vertical="center"/>
    </xf>
    <xf numFmtId="43" fontId="23" fillId="0" borderId="17" xfId="1" applyNumberFormat="1" applyFont="1" applyBorder="1"/>
    <xf numFmtId="0" fontId="23" fillId="0" borderId="4" xfId="1" applyNumberFormat="1" applyFont="1" applyBorder="1" applyAlignment="1">
      <alignment horizontal="center" vertical="center"/>
    </xf>
    <xf numFmtId="0" fontId="23" fillId="0" borderId="0" xfId="0" applyFont="1" applyBorder="1"/>
    <xf numFmtId="0" fontId="23" fillId="0" borderId="10" xfId="0" applyFont="1" applyBorder="1"/>
    <xf numFmtId="0" fontId="23" fillId="0" borderId="17" xfId="0" applyFont="1" applyBorder="1"/>
    <xf numFmtId="41" fontId="28" fillId="0" borderId="6" xfId="0" applyNumberFormat="1" applyFont="1" applyBorder="1"/>
    <xf numFmtId="43" fontId="28" fillId="0" borderId="6" xfId="1" applyNumberFormat="1" applyFont="1" applyBorder="1"/>
    <xf numFmtId="41" fontId="28" fillId="0" borderId="7" xfId="0" applyNumberFormat="1" applyFont="1" applyBorder="1"/>
    <xf numFmtId="43" fontId="28" fillId="0" borderId="7" xfId="1" applyNumberFormat="1" applyFont="1" applyBorder="1"/>
    <xf numFmtId="0" fontId="28" fillId="0" borderId="4" xfId="1" applyNumberFormat="1" applyFont="1" applyBorder="1" applyAlignment="1">
      <alignment horizontal="center" vertical="center"/>
    </xf>
    <xf numFmtId="43" fontId="28" fillId="0" borderId="28" xfId="1" applyNumberFormat="1" applyFont="1" applyBorder="1"/>
    <xf numFmtId="0" fontId="28" fillId="0" borderId="16" xfId="1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3" fillId="0" borderId="0" xfId="0" applyFont="1"/>
    <xf numFmtId="188" fontId="8" fillId="0" borderId="0" xfId="1" applyFont="1" applyBorder="1" applyAlignment="1">
      <alignment horizontal="center"/>
    </xf>
    <xf numFmtId="188" fontId="8" fillId="0" borderId="3" xfId="1" applyFont="1" applyBorder="1" applyAlignment="1">
      <alignment horizontal="center"/>
    </xf>
    <xf numFmtId="188" fontId="10" fillId="0" borderId="3" xfId="1" applyFont="1" applyBorder="1" applyAlignment="1">
      <alignment horizontal="center"/>
    </xf>
    <xf numFmtId="0" fontId="4" fillId="0" borderId="0" xfId="0" applyFont="1" applyFill="1" applyBorder="1" applyAlignment="1" applyProtection="1">
      <alignment vertical="center"/>
    </xf>
    <xf numFmtId="188" fontId="42" fillId="0" borderId="0" xfId="1" applyFont="1" applyBorder="1" applyAlignment="1">
      <alignment horizontal="center"/>
    </xf>
    <xf numFmtId="188" fontId="53" fillId="0" borderId="0" xfId="1" applyFont="1" applyBorder="1" applyAlignment="1">
      <alignment horizontal="center"/>
    </xf>
    <xf numFmtId="188" fontId="5" fillId="0" borderId="0" xfId="1" applyFont="1" applyAlignment="1">
      <alignment horizontal="center" vertical="center"/>
    </xf>
    <xf numFmtId="188" fontId="42" fillId="0" borderId="12" xfId="0" applyNumberFormat="1" applyFont="1" applyBorder="1"/>
    <xf numFmtId="0" fontId="8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188" fontId="8" fillId="2" borderId="4" xfId="1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8" fillId="2" borderId="4" xfId="0" applyFont="1" applyFill="1" applyBorder="1" applyAlignment="1"/>
    <xf numFmtId="188" fontId="5" fillId="2" borderId="4" xfId="1" applyFont="1" applyFill="1" applyBorder="1" applyAlignment="1">
      <alignment horizontal="right"/>
    </xf>
    <xf numFmtId="0" fontId="23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/>
    <xf numFmtId="188" fontId="5" fillId="2" borderId="5" xfId="1" applyFont="1" applyFill="1" applyBorder="1"/>
    <xf numFmtId="188" fontId="5" fillId="2" borderId="0" xfId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1" xfId="0" applyFont="1" applyFill="1" applyBorder="1" applyAlignment="1">
      <alignment horizontal="center"/>
    </xf>
    <xf numFmtId="188" fontId="5" fillId="2" borderId="16" xfId="1" applyFont="1" applyFill="1" applyBorder="1"/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88" fontId="23" fillId="2" borderId="0" xfId="1" applyFont="1" applyFill="1" applyBorder="1"/>
    <xf numFmtId="0" fontId="23" fillId="2" borderId="7" xfId="0" applyFont="1" applyFill="1" applyBorder="1" applyAlignment="1">
      <alignment horizontal="center"/>
    </xf>
    <xf numFmtId="188" fontId="28" fillId="2" borderId="4" xfId="1" applyFont="1" applyFill="1" applyBorder="1"/>
    <xf numFmtId="0" fontId="8" fillId="2" borderId="22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88" fontId="16" fillId="0" borderId="0" xfId="1" applyFont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5" fillId="0" borderId="17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4" fillId="2" borderId="0" xfId="0" applyFont="1" applyFill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8" fillId="0" borderId="1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/>
    </xf>
    <xf numFmtId="188" fontId="5" fillId="0" borderId="0" xfId="1" applyFont="1" applyAlignment="1">
      <alignment horizontal="center"/>
    </xf>
    <xf numFmtId="188" fontId="5" fillId="0" borderId="3" xfId="1" applyFont="1" applyBorder="1" applyAlignment="1">
      <alignment horizontal="center"/>
    </xf>
    <xf numFmtId="188" fontId="42" fillId="0" borderId="0" xfId="0" applyNumberFormat="1" applyFont="1" applyBorder="1" applyAlignment="1">
      <alignment horizontal="center"/>
    </xf>
    <xf numFmtId="188" fontId="5" fillId="0" borderId="0" xfId="1" applyFont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5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90" zoomScaleNormal="90" workbookViewId="0">
      <selection activeCell="D21" sqref="D21"/>
    </sheetView>
  </sheetViews>
  <sheetFormatPr defaultRowHeight="24" x14ac:dyDescent="0.55000000000000004"/>
  <cols>
    <col min="1" max="1" width="59.140625" style="6" customWidth="1"/>
    <col min="2" max="2" width="10.5703125" style="6" customWidth="1"/>
    <col min="3" max="3" width="15.28515625" style="6" customWidth="1"/>
    <col min="4" max="4" width="14.5703125" style="6" customWidth="1"/>
    <col min="5" max="5" width="9.140625" style="6"/>
    <col min="6" max="6" width="9.7109375" style="6" bestFit="1" customWidth="1"/>
    <col min="7" max="7" width="9.28515625" style="6" bestFit="1" customWidth="1"/>
    <col min="8" max="16384" width="9.140625" style="6"/>
  </cols>
  <sheetData>
    <row r="1" spans="1:7" ht="40.5" customHeight="1" x14ac:dyDescent="0.65">
      <c r="A1" s="713" t="s">
        <v>51</v>
      </c>
      <c r="B1" s="713"/>
      <c r="C1" s="713"/>
      <c r="D1" s="713"/>
    </row>
    <row r="2" spans="1:7" ht="27.75" x14ac:dyDescent="0.65">
      <c r="A2" s="714" t="s">
        <v>575</v>
      </c>
      <c r="B2" s="714"/>
      <c r="C2" s="714"/>
      <c r="D2" s="714"/>
    </row>
    <row r="3" spans="1:7" ht="27.75" x14ac:dyDescent="0.65">
      <c r="A3" s="715" t="s">
        <v>609</v>
      </c>
      <c r="B3" s="715"/>
      <c r="C3" s="715"/>
      <c r="D3" s="715"/>
    </row>
    <row r="4" spans="1:7" ht="27.75" x14ac:dyDescent="0.65">
      <c r="A4" s="333"/>
      <c r="B4" s="333"/>
      <c r="C4" s="333"/>
      <c r="D4" s="333"/>
    </row>
    <row r="5" spans="1:7" s="186" customFormat="1" ht="27.75" x14ac:dyDescent="0.65">
      <c r="A5" s="322" t="s">
        <v>4</v>
      </c>
      <c r="B5" s="322" t="s">
        <v>1</v>
      </c>
      <c r="C5" s="322" t="s">
        <v>5</v>
      </c>
      <c r="D5" s="322" t="s">
        <v>2</v>
      </c>
    </row>
    <row r="6" spans="1:7" x14ac:dyDescent="0.55000000000000004">
      <c r="A6" s="344" t="s">
        <v>594</v>
      </c>
      <c r="B6" s="79" t="s">
        <v>201</v>
      </c>
      <c r="C6" s="80">
        <f>4177053.24+221739.95-93000+248513.5-92200+166521.4-91400+307680.8-89800+368641.11-89000+559221.4-89800+289973.46-90600+293429.5-91400+316617.85-91400+228775.15-92200+394305-92200+779231.48-161000</f>
        <v>7187703.8400000017</v>
      </c>
      <c r="D6" s="73"/>
      <c r="F6" s="60"/>
      <c r="G6" s="60"/>
    </row>
    <row r="7" spans="1:7" x14ac:dyDescent="0.55000000000000004">
      <c r="A7" s="344" t="s">
        <v>591</v>
      </c>
      <c r="B7" s="79" t="s">
        <v>201</v>
      </c>
      <c r="C7" s="80">
        <f>624929.21+22429.99+1325.48</f>
        <v>648684.67999999993</v>
      </c>
      <c r="D7" s="73"/>
      <c r="F7" s="60"/>
      <c r="G7" s="60"/>
    </row>
    <row r="8" spans="1:7" x14ac:dyDescent="0.55000000000000004">
      <c r="A8" s="334" t="s">
        <v>812</v>
      </c>
      <c r="B8" s="79" t="s">
        <v>201</v>
      </c>
      <c r="C8" s="81">
        <f>8899043.27+1576406-2284346.04+6911153.7-4064215.1+4727287.14-2952809.78+2096257.6-2166803.6+1897444.25-3448250.7-0.01+40+1120043.43-40-2981649.86+4233376.59-1880771.5+1417696.21-2651423.24+1746242.08-2235171.86+3599533.92-2695806.86+1412525.93-1936911.53+1648226.23-3917432.38</f>
        <v>8069643.8899999997</v>
      </c>
      <c r="D8" s="73"/>
      <c r="F8" s="60"/>
      <c r="G8" s="60"/>
    </row>
    <row r="9" spans="1:7" x14ac:dyDescent="0.55000000000000004">
      <c r="A9" s="78" t="s">
        <v>813</v>
      </c>
      <c r="B9" s="79" t="s">
        <v>201</v>
      </c>
      <c r="C9" s="81">
        <f>380500-26000-39117+835.31-383-183447</f>
        <v>132388.31</v>
      </c>
      <c r="D9" s="73"/>
      <c r="F9" s="60"/>
      <c r="G9" s="60"/>
    </row>
    <row r="10" spans="1:7" x14ac:dyDescent="0.55000000000000004">
      <c r="A10" s="345" t="s">
        <v>579</v>
      </c>
      <c r="B10" s="79" t="s">
        <v>202</v>
      </c>
      <c r="C10" s="81">
        <f>847937.43+75959.94+285929.88</f>
        <v>1209827.25</v>
      </c>
      <c r="D10" s="73"/>
      <c r="F10" s="60"/>
      <c r="G10" s="60"/>
    </row>
    <row r="11" spans="1:7" x14ac:dyDescent="0.55000000000000004">
      <c r="A11" s="78" t="s">
        <v>580</v>
      </c>
      <c r="B11" s="79" t="s">
        <v>203</v>
      </c>
      <c r="C11" s="350">
        <f>495000+1083000+4980000+1247500+400000+1378500</f>
        <v>9584000</v>
      </c>
      <c r="D11" s="74"/>
      <c r="F11" s="60"/>
      <c r="G11" s="60"/>
    </row>
    <row r="12" spans="1:7" x14ac:dyDescent="0.55000000000000004">
      <c r="A12" s="78" t="s">
        <v>581</v>
      </c>
      <c r="B12" s="79" t="s">
        <v>204</v>
      </c>
      <c r="C12" s="351">
        <f>4392+12144.75</f>
        <v>16536.75</v>
      </c>
      <c r="D12" s="74"/>
      <c r="F12" s="60"/>
      <c r="G12" s="60"/>
    </row>
    <row r="13" spans="1:7" x14ac:dyDescent="0.55000000000000004">
      <c r="A13" s="78" t="s">
        <v>582</v>
      </c>
      <c r="B13" s="79" t="s">
        <v>205</v>
      </c>
      <c r="C13" s="77">
        <v>85836.6</v>
      </c>
      <c r="D13" s="74"/>
      <c r="F13" s="60"/>
      <c r="G13" s="60"/>
    </row>
    <row r="14" spans="1:7" x14ac:dyDescent="0.55000000000000004">
      <c r="A14" s="78" t="s">
        <v>583</v>
      </c>
      <c r="B14" s="79" t="s">
        <v>205</v>
      </c>
      <c r="C14" s="77">
        <f>350167+47212-42546+46678-40832-22788+30692-7154+40248-34650+53810-10970-10626+49944-54462+30092-74210+65890-32336+48092-41692+50960+47624-33062</f>
        <v>456081</v>
      </c>
      <c r="D14" s="74"/>
      <c r="F14" s="60"/>
      <c r="G14" s="60"/>
    </row>
    <row r="15" spans="1:7" x14ac:dyDescent="0.55000000000000004">
      <c r="A15" s="78" t="s">
        <v>584</v>
      </c>
      <c r="B15" s="79" t="s">
        <v>206</v>
      </c>
      <c r="C15" s="83">
        <v>0</v>
      </c>
      <c r="D15" s="84">
        <v>9643929.9600000009</v>
      </c>
      <c r="E15" s="2"/>
      <c r="F15" s="60"/>
      <c r="G15" s="60"/>
    </row>
    <row r="16" spans="1:7" x14ac:dyDescent="0.55000000000000004">
      <c r="A16" s="78" t="s">
        <v>585</v>
      </c>
      <c r="B16" s="79" t="s">
        <v>207</v>
      </c>
      <c r="C16" s="82">
        <v>0</v>
      </c>
      <c r="D16" s="77">
        <f>1460015.31+14368.68-341865.97+97973.87-87492.68+15487.18-29213.87+52418.1-16108.18+50840.42-25187.98+58647.37-72747.88+13078.37-57037.82+399470.07-64942.47+13065.1-18371.23+20104.17-79024.64+105266.95-20611.15+383+297133.89-214100.95</f>
        <v>1571547.6600000004</v>
      </c>
      <c r="E16" s="2"/>
      <c r="F16" s="60"/>
      <c r="G16" s="60"/>
    </row>
    <row r="17" spans="1:9" x14ac:dyDescent="0.55000000000000004">
      <c r="A17" s="78" t="s">
        <v>586</v>
      </c>
      <c r="B17" s="79" t="s">
        <v>208</v>
      </c>
      <c r="C17" s="82">
        <v>0</v>
      </c>
      <c r="D17" s="77">
        <f>6247257.43+1000+1000+1000+1000+1500+1000+518.01-305000+1000-138500+1000+1000+1000+1000+1000+1000+52388.4-277000+3288024.42</f>
        <v>8881188.2599999998</v>
      </c>
      <c r="E17" s="1"/>
      <c r="F17" s="5"/>
      <c r="G17" s="5"/>
      <c r="H17" s="1"/>
      <c r="I17" s="1"/>
    </row>
    <row r="18" spans="1:9" x14ac:dyDescent="0.55000000000000004">
      <c r="A18" s="320" t="s">
        <v>587</v>
      </c>
      <c r="B18" s="321" t="s">
        <v>209</v>
      </c>
      <c r="C18" s="82">
        <v>0</v>
      </c>
      <c r="D18" s="77">
        <f>6846528.3-149500-499000+1096008.14</f>
        <v>7294036.4399999995</v>
      </c>
    </row>
    <row r="19" spans="1:9" ht="24.75" thickBot="1" x14ac:dyDescent="0.6">
      <c r="A19" s="711" t="s">
        <v>14</v>
      </c>
      <c r="B19" s="712"/>
      <c r="C19" s="76">
        <f>SUM(C6:C18)</f>
        <v>27390702.32</v>
      </c>
      <c r="D19" s="76">
        <f>SUM(D6:D18)</f>
        <v>27390702.32</v>
      </c>
    </row>
    <row r="20" spans="1:9" ht="28.5" thickTop="1" x14ac:dyDescent="0.65">
      <c r="A20" s="68"/>
      <c r="B20" s="69"/>
      <c r="C20" s="70"/>
      <c r="D20" s="70"/>
    </row>
    <row r="21" spans="1:9" ht="27.75" x14ac:dyDescent="0.65">
      <c r="A21" s="296"/>
      <c r="B21" s="69"/>
      <c r="C21" s="70"/>
      <c r="D21" s="70"/>
    </row>
    <row r="22" spans="1:9" x14ac:dyDescent="0.55000000000000004">
      <c r="B22" s="71"/>
      <c r="C22" s="33"/>
      <c r="D22" s="33"/>
    </row>
    <row r="23" spans="1:9" x14ac:dyDescent="0.55000000000000004">
      <c r="A23" s="33" t="s">
        <v>578</v>
      </c>
      <c r="B23" s="71"/>
      <c r="C23" s="349" t="s">
        <v>577</v>
      </c>
      <c r="D23" s="33"/>
    </row>
    <row r="24" spans="1:9" x14ac:dyDescent="0.55000000000000004">
      <c r="A24" s="3" t="s">
        <v>593</v>
      </c>
      <c r="B24" s="71"/>
      <c r="C24" s="33" t="s">
        <v>70</v>
      </c>
      <c r="D24" s="33"/>
    </row>
    <row r="25" spans="1:9" x14ac:dyDescent="0.55000000000000004">
      <c r="A25" s="6" t="s">
        <v>592</v>
      </c>
      <c r="B25" s="71"/>
      <c r="C25" s="33"/>
      <c r="D25" s="33"/>
    </row>
  </sheetData>
  <mergeCells count="4">
    <mergeCell ref="A19:B19"/>
    <mergeCell ref="A1:D1"/>
    <mergeCell ref="A2:D2"/>
    <mergeCell ref="A3:D3"/>
  </mergeCells>
  <phoneticPr fontId="2" type="noConversion"/>
  <pageMargins left="0.43" right="0.11" top="0.47" bottom="1" header="0.2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4" workbookViewId="0">
      <selection activeCell="G15" sqref="G15"/>
    </sheetView>
  </sheetViews>
  <sheetFormatPr defaultRowHeight="12.75" x14ac:dyDescent="0.2"/>
  <cols>
    <col min="1" max="1" width="0.85546875" customWidth="1"/>
    <col min="2" max="2" width="22.7109375" customWidth="1"/>
    <col min="3" max="3" width="8.5703125" customWidth="1"/>
    <col min="4" max="4" width="10.140625" customWidth="1"/>
    <col min="5" max="5" width="13" customWidth="1"/>
    <col min="6" max="6" width="8.28515625" customWidth="1"/>
    <col min="7" max="7" width="12.140625" customWidth="1"/>
    <col min="8" max="8" width="13.28515625" customWidth="1"/>
  </cols>
  <sheetData>
    <row r="1" spans="1:8" ht="24" x14ac:dyDescent="0.55000000000000004">
      <c r="A1" s="737" t="s">
        <v>414</v>
      </c>
      <c r="B1" s="737"/>
      <c r="C1" s="737"/>
      <c r="D1" s="737"/>
      <c r="E1" s="737"/>
      <c r="F1" s="737"/>
      <c r="G1" s="737"/>
      <c r="H1" s="737"/>
    </row>
    <row r="2" spans="1:8" ht="24" x14ac:dyDescent="0.55000000000000004">
      <c r="A2" s="737" t="s">
        <v>107</v>
      </c>
      <c r="B2" s="737"/>
      <c r="C2" s="737"/>
      <c r="D2" s="737"/>
      <c r="E2" s="737"/>
      <c r="F2" s="737"/>
      <c r="G2" s="737"/>
      <c r="H2" s="737"/>
    </row>
    <row r="3" spans="1:8" ht="24" x14ac:dyDescent="0.55000000000000004">
      <c r="A3" s="737" t="s">
        <v>598</v>
      </c>
      <c r="B3" s="737"/>
      <c r="C3" s="737"/>
      <c r="D3" s="737"/>
      <c r="E3" s="737"/>
      <c r="F3" s="737"/>
      <c r="G3" s="737"/>
      <c r="H3" s="737"/>
    </row>
    <row r="4" spans="1:8" ht="24" x14ac:dyDescent="0.55000000000000004">
      <c r="A4" s="47"/>
      <c r="B4" s="47"/>
      <c r="C4" s="47"/>
      <c r="D4" s="47"/>
      <c r="E4" s="47"/>
      <c r="F4" s="47"/>
      <c r="G4" s="47"/>
      <c r="H4" s="47"/>
    </row>
    <row r="5" spans="1:8" ht="24" x14ac:dyDescent="0.55000000000000004">
      <c r="A5" s="238" t="s">
        <v>808</v>
      </c>
      <c r="B5" s="47"/>
      <c r="C5" s="47"/>
      <c r="D5" s="47"/>
      <c r="E5" s="47"/>
      <c r="F5" s="47"/>
      <c r="G5" s="47"/>
      <c r="H5" s="47"/>
    </row>
    <row r="6" spans="1:8" ht="24" x14ac:dyDescent="0.55000000000000004">
      <c r="A6" s="238"/>
      <c r="B6" s="770" t="s">
        <v>803</v>
      </c>
      <c r="C6" s="771">
        <v>2561</v>
      </c>
      <c r="D6" s="771"/>
      <c r="E6" s="771"/>
      <c r="F6" s="771">
        <v>2560</v>
      </c>
      <c r="G6" s="771"/>
      <c r="H6" s="771"/>
    </row>
    <row r="7" spans="1:8" ht="24" x14ac:dyDescent="0.55000000000000004">
      <c r="A7" s="47"/>
      <c r="B7" s="770"/>
      <c r="C7" s="658" t="s">
        <v>804</v>
      </c>
      <c r="D7" s="659" t="s">
        <v>805</v>
      </c>
      <c r="E7" s="658" t="s">
        <v>15</v>
      </c>
      <c r="F7" s="658" t="s">
        <v>804</v>
      </c>
      <c r="G7" s="658" t="s">
        <v>805</v>
      </c>
      <c r="H7" s="658" t="s">
        <v>15</v>
      </c>
    </row>
    <row r="8" spans="1:8" ht="24" x14ac:dyDescent="0.55000000000000004">
      <c r="A8" s="47"/>
      <c r="B8" s="406" t="s">
        <v>806</v>
      </c>
      <c r="C8" s="660">
        <v>2560</v>
      </c>
      <c r="D8" s="661">
        <v>1</v>
      </c>
      <c r="E8" s="662">
        <v>4392</v>
      </c>
      <c r="F8" s="652">
        <v>2560</v>
      </c>
      <c r="G8" s="661">
        <v>3</v>
      </c>
      <c r="H8" s="663">
        <v>10017</v>
      </c>
    </row>
    <row r="9" spans="1:8" ht="24" x14ac:dyDescent="0.55000000000000004">
      <c r="A9" s="47"/>
      <c r="B9" s="664"/>
      <c r="C9" s="665">
        <v>2561</v>
      </c>
      <c r="D9" s="666">
        <v>3</v>
      </c>
      <c r="E9" s="667">
        <f>2655+6677.25+2812.5</f>
        <v>12144.75</v>
      </c>
      <c r="F9" s="652"/>
      <c r="G9" s="399"/>
      <c r="H9" s="399"/>
    </row>
    <row r="10" spans="1:8" ht="24" x14ac:dyDescent="0.55000000000000004">
      <c r="A10" s="47"/>
      <c r="B10" s="763" t="s">
        <v>14</v>
      </c>
      <c r="C10" s="764"/>
      <c r="D10" s="668">
        <v>4</v>
      </c>
      <c r="E10" s="407">
        <f>SUM(E8:E9)</f>
        <v>16536.75</v>
      </c>
      <c r="F10" s="407"/>
      <c r="G10" s="668">
        <v>3</v>
      </c>
      <c r="H10" s="407">
        <f>SUM(H8:H9)</f>
        <v>10017</v>
      </c>
    </row>
    <row r="11" spans="1:8" ht="24" x14ac:dyDescent="0.55000000000000004">
      <c r="A11" s="669"/>
      <c r="B11" s="670"/>
      <c r="C11" s="671"/>
      <c r="D11" s="399"/>
      <c r="E11" s="399"/>
      <c r="F11" s="664"/>
      <c r="G11" s="399"/>
      <c r="H11" s="399"/>
    </row>
    <row r="12" spans="1:8" ht="24" x14ac:dyDescent="0.55000000000000004">
      <c r="A12" s="669"/>
      <c r="B12" s="765"/>
      <c r="C12" s="766"/>
      <c r="D12" s="672"/>
      <c r="E12" s="673"/>
      <c r="F12" s="673"/>
      <c r="G12" s="672"/>
      <c r="H12" s="673"/>
    </row>
    <row r="13" spans="1:8" ht="24" x14ac:dyDescent="0.55000000000000004">
      <c r="A13" s="669"/>
      <c r="B13" s="670"/>
      <c r="C13" s="671"/>
      <c r="D13" s="399"/>
      <c r="E13" s="399"/>
      <c r="F13" s="664"/>
      <c r="G13" s="399"/>
      <c r="H13" s="399"/>
    </row>
    <row r="14" spans="1:8" ht="24" x14ac:dyDescent="0.55000000000000004">
      <c r="A14" s="669"/>
      <c r="B14" s="670"/>
      <c r="C14" s="671"/>
      <c r="D14" s="399"/>
      <c r="E14" s="399"/>
      <c r="F14" s="664"/>
      <c r="G14" s="399"/>
      <c r="H14" s="399"/>
    </row>
    <row r="15" spans="1:8" ht="24" x14ac:dyDescent="0.55000000000000004">
      <c r="A15" s="47"/>
      <c r="B15" s="767"/>
      <c r="C15" s="768"/>
      <c r="D15" s="674"/>
      <c r="E15" s="675"/>
      <c r="F15" s="673"/>
      <c r="G15" s="674"/>
      <c r="H15" s="675"/>
    </row>
    <row r="16" spans="1:8" ht="24.75" thickBot="1" x14ac:dyDescent="0.6">
      <c r="A16" s="47"/>
      <c r="B16" s="763" t="s">
        <v>418</v>
      </c>
      <c r="C16" s="769"/>
      <c r="D16" s="676">
        <v>4</v>
      </c>
      <c r="E16" s="677">
        <f>SUM(E10+E12+E15)</f>
        <v>16536.75</v>
      </c>
      <c r="F16" s="407"/>
      <c r="G16" s="678">
        <v>3</v>
      </c>
      <c r="H16" s="404">
        <f>SUM(H10+H12+H15)</f>
        <v>10017</v>
      </c>
    </row>
    <row r="17" spans="1:8" ht="24.75" thickTop="1" x14ac:dyDescent="0.55000000000000004">
      <c r="A17" s="47"/>
      <c r="B17" s="47"/>
      <c r="C17" s="47"/>
      <c r="D17" s="47"/>
      <c r="E17" s="47"/>
      <c r="F17" s="47"/>
      <c r="G17" s="47"/>
      <c r="H17" s="47"/>
    </row>
    <row r="18" spans="1:8" ht="24" x14ac:dyDescent="0.55000000000000004">
      <c r="A18" s="47"/>
      <c r="B18" s="47"/>
      <c r="C18" s="47"/>
      <c r="D18" s="47"/>
      <c r="E18" s="47"/>
      <c r="F18" s="47"/>
      <c r="G18" s="47"/>
      <c r="H18" s="47"/>
    </row>
    <row r="19" spans="1:8" ht="27.75" x14ac:dyDescent="0.65">
      <c r="A19" s="679" t="s">
        <v>809</v>
      </c>
      <c r="B19" s="653"/>
      <c r="C19" s="653"/>
      <c r="D19" s="653"/>
      <c r="E19" s="47"/>
      <c r="F19" s="47"/>
      <c r="G19" s="47"/>
      <c r="H19" s="47"/>
    </row>
    <row r="20" spans="1:8" ht="27.75" x14ac:dyDescent="0.65">
      <c r="A20" s="600"/>
      <c r="B20" s="650"/>
      <c r="C20" s="50"/>
      <c r="D20" s="650"/>
      <c r="E20" s="480">
        <v>2561</v>
      </c>
      <c r="F20" s="680"/>
      <c r="G20" s="480">
        <v>2560</v>
      </c>
      <c r="H20" s="47"/>
    </row>
    <row r="21" spans="1:8" ht="27.75" x14ac:dyDescent="0.65">
      <c r="A21" s="654" t="s">
        <v>816</v>
      </c>
      <c r="B21" s="655"/>
      <c r="C21" s="50"/>
      <c r="D21" s="655"/>
      <c r="E21" s="687">
        <v>456081</v>
      </c>
      <c r="F21" s="680"/>
      <c r="G21" s="687">
        <v>350167</v>
      </c>
      <c r="H21" s="47"/>
    </row>
    <row r="22" spans="1:8" ht="24" x14ac:dyDescent="0.55000000000000004">
      <c r="A22" s="651" t="s">
        <v>807</v>
      </c>
      <c r="B22" s="681"/>
      <c r="C22" s="681"/>
      <c r="D22" s="681"/>
      <c r="E22" s="682">
        <v>85836.6</v>
      </c>
      <c r="F22" s="478"/>
      <c r="G22" s="683">
        <v>177648.05</v>
      </c>
      <c r="H22" s="684"/>
    </row>
    <row r="23" spans="1:8" ht="26.25" x14ac:dyDescent="0.7">
      <c r="A23" s="720" t="s">
        <v>14</v>
      </c>
      <c r="B23" s="720"/>
      <c r="C23" s="681"/>
      <c r="D23" s="681"/>
      <c r="E23" s="685">
        <f>SUM(E21:E22)</f>
        <v>541917.6</v>
      </c>
      <c r="F23" s="47"/>
      <c r="G23" s="686">
        <f>SUM(G21:G22)</f>
        <v>527815.05000000005</v>
      </c>
      <c r="H23" s="47"/>
    </row>
    <row r="24" spans="1:8" ht="24" x14ac:dyDescent="0.55000000000000004">
      <c r="A24" s="47"/>
      <c r="B24" s="47"/>
      <c r="C24" s="47"/>
      <c r="D24" s="47"/>
      <c r="E24" s="47"/>
      <c r="F24" s="47"/>
      <c r="G24" s="47"/>
      <c r="H24" s="47"/>
    </row>
    <row r="25" spans="1:8" ht="24" x14ac:dyDescent="0.55000000000000004">
      <c r="A25" s="47"/>
      <c r="B25" s="47"/>
      <c r="C25" s="47"/>
      <c r="D25" s="47"/>
      <c r="E25" s="47"/>
      <c r="F25" s="47"/>
      <c r="G25" s="47"/>
      <c r="H25" s="47"/>
    </row>
    <row r="26" spans="1:8" ht="24" x14ac:dyDescent="0.55000000000000004">
      <c r="A26" s="47"/>
      <c r="B26" s="47"/>
      <c r="C26" s="47"/>
      <c r="D26" s="47"/>
      <c r="E26" s="47"/>
      <c r="F26" s="47"/>
      <c r="G26" s="47"/>
      <c r="H26" s="47"/>
    </row>
    <row r="27" spans="1:8" ht="24" x14ac:dyDescent="0.55000000000000004">
      <c r="A27" s="47"/>
      <c r="B27" s="47"/>
      <c r="C27" s="47"/>
      <c r="D27" s="47"/>
      <c r="E27" s="47"/>
      <c r="F27" s="47"/>
      <c r="G27" s="47"/>
      <c r="H27" s="47"/>
    </row>
  </sheetData>
  <mergeCells count="11">
    <mergeCell ref="A1:H1"/>
    <mergeCell ref="A2:H2"/>
    <mergeCell ref="A3:H3"/>
    <mergeCell ref="B6:B7"/>
    <mergeCell ref="C6:E6"/>
    <mergeCell ref="F6:H6"/>
    <mergeCell ref="B10:C10"/>
    <mergeCell ref="B12:C12"/>
    <mergeCell ref="B15:C15"/>
    <mergeCell ref="B16:C16"/>
    <mergeCell ref="A23:B23"/>
  </mergeCells>
  <pageMargins left="0.7086614173228347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view="pageBreakPreview" zoomScale="90" zoomScaleNormal="100" zoomScaleSheetLayoutView="90" workbookViewId="0">
      <selection activeCell="D39" sqref="D39"/>
    </sheetView>
  </sheetViews>
  <sheetFormatPr defaultRowHeight="27.75" x14ac:dyDescent="0.65"/>
  <cols>
    <col min="1" max="1" width="32.85546875" style="29" customWidth="1"/>
    <col min="2" max="2" width="14.140625" style="29" customWidth="1"/>
    <col min="3" max="3" width="16.7109375" style="29" customWidth="1"/>
    <col min="4" max="4" width="17" style="29" customWidth="1"/>
    <col min="5" max="5" width="1.7109375" style="6" customWidth="1"/>
    <col min="6" max="6" width="14.7109375" style="29" customWidth="1"/>
    <col min="7" max="16384" width="9.140625" style="29"/>
  </cols>
  <sheetData>
    <row r="1" spans="1:6" x14ac:dyDescent="0.65">
      <c r="A1" s="716" t="s">
        <v>414</v>
      </c>
      <c r="B1" s="716"/>
      <c r="C1" s="716"/>
      <c r="D1" s="716"/>
      <c r="E1" s="716"/>
      <c r="F1" s="716"/>
    </row>
    <row r="2" spans="1:6" x14ac:dyDescent="0.65">
      <c r="A2" s="716" t="s">
        <v>107</v>
      </c>
      <c r="B2" s="716"/>
      <c r="C2" s="716"/>
      <c r="D2" s="716"/>
      <c r="E2" s="716"/>
      <c r="F2" s="716"/>
    </row>
    <row r="3" spans="1:6" x14ac:dyDescent="0.65">
      <c r="A3" s="716" t="s">
        <v>606</v>
      </c>
      <c r="B3" s="716"/>
      <c r="C3" s="716"/>
      <c r="D3" s="716"/>
      <c r="E3" s="716"/>
      <c r="F3" s="716"/>
    </row>
    <row r="4" spans="1:6" x14ac:dyDescent="0.65">
      <c r="A4" s="777" t="s">
        <v>683</v>
      </c>
      <c r="B4" s="777"/>
      <c r="C4" s="777"/>
      <c r="D4" s="777"/>
      <c r="E4" s="479"/>
      <c r="F4" s="6"/>
    </row>
    <row r="5" spans="1:6" x14ac:dyDescent="0.65">
      <c r="A5" s="6"/>
      <c r="B5" s="6"/>
      <c r="C5" s="148"/>
      <c r="D5" s="480">
        <v>2561</v>
      </c>
      <c r="E5" s="481"/>
      <c r="F5" s="449">
        <v>2560</v>
      </c>
    </row>
    <row r="6" spans="1:6" x14ac:dyDescent="0.65">
      <c r="A6" s="482" t="s">
        <v>415</v>
      </c>
      <c r="B6" s="330"/>
      <c r="C6" s="330"/>
      <c r="D6" s="330"/>
      <c r="E6" s="434"/>
      <c r="F6" s="148">
        <v>498000</v>
      </c>
    </row>
    <row r="7" spans="1:6" ht="24.75" customHeight="1" x14ac:dyDescent="0.65">
      <c r="A7" s="1" t="s">
        <v>416</v>
      </c>
      <c r="B7" s="1"/>
      <c r="C7" s="149"/>
      <c r="D7" s="149"/>
      <c r="E7" s="483"/>
      <c r="F7" s="484">
        <v>1495000</v>
      </c>
    </row>
    <row r="8" spans="1:6" x14ac:dyDescent="0.65">
      <c r="A8" s="1" t="s">
        <v>417</v>
      </c>
      <c r="B8" s="1"/>
      <c r="C8" s="149"/>
      <c r="D8" s="149"/>
      <c r="E8" s="483"/>
      <c r="F8" s="485">
        <v>158000</v>
      </c>
    </row>
    <row r="9" spans="1:6" x14ac:dyDescent="0.65">
      <c r="A9" s="1" t="s">
        <v>672</v>
      </c>
      <c r="B9" s="1"/>
      <c r="C9" s="149"/>
      <c r="D9" s="148">
        <v>495000</v>
      </c>
      <c r="E9" s="483"/>
      <c r="F9" s="252"/>
    </row>
    <row r="10" spans="1:6" x14ac:dyDescent="0.65">
      <c r="A10" s="1" t="s">
        <v>673</v>
      </c>
      <c r="B10" s="1"/>
      <c r="C10" s="149"/>
      <c r="D10" s="148">
        <v>1083000</v>
      </c>
      <c r="E10" s="483"/>
      <c r="F10" s="252"/>
    </row>
    <row r="11" spans="1:6" x14ac:dyDescent="0.65">
      <c r="A11" s="1" t="s">
        <v>674</v>
      </c>
      <c r="B11" s="1"/>
      <c r="C11" s="149"/>
      <c r="D11" s="148">
        <v>4980000</v>
      </c>
      <c r="E11" s="483"/>
      <c r="F11" s="252"/>
    </row>
    <row r="12" spans="1:6" x14ac:dyDescent="0.65">
      <c r="A12" s="486" t="s">
        <v>675</v>
      </c>
      <c r="B12" s="1"/>
      <c r="C12" s="149"/>
      <c r="D12" s="148">
        <v>1247500</v>
      </c>
      <c r="E12" s="483"/>
      <c r="F12" s="252"/>
    </row>
    <row r="13" spans="1:6" x14ac:dyDescent="0.65">
      <c r="A13" s="1" t="s">
        <v>676</v>
      </c>
      <c r="B13" s="1"/>
      <c r="C13" s="149"/>
      <c r="D13" s="148">
        <v>400000</v>
      </c>
      <c r="E13" s="483"/>
      <c r="F13" s="252"/>
    </row>
    <row r="14" spans="1:6" x14ac:dyDescent="0.65">
      <c r="A14" s="486" t="s">
        <v>677</v>
      </c>
      <c r="B14" s="241"/>
      <c r="C14" s="242"/>
      <c r="D14" s="243">
        <v>1378500</v>
      </c>
      <c r="E14" s="487"/>
      <c r="F14" s="243"/>
    </row>
    <row r="15" spans="1:6" ht="28.5" thickBot="1" x14ac:dyDescent="0.7">
      <c r="A15" s="241"/>
      <c r="B15" s="244" t="s">
        <v>14</v>
      </c>
      <c r="C15" s="242"/>
      <c r="D15" s="245">
        <f>SUM(D6:D14)</f>
        <v>9584000</v>
      </c>
      <c r="E15" s="488"/>
      <c r="F15" s="245">
        <f>SUM(F6:F14)</f>
        <v>2151000</v>
      </c>
    </row>
    <row r="16" spans="1:6" ht="28.5" thickTop="1" x14ac:dyDescent="0.65">
      <c r="A16" s="449"/>
      <c r="C16" s="246"/>
      <c r="E16" s="250"/>
      <c r="F16" s="6"/>
    </row>
    <row r="17" spans="1:6" x14ac:dyDescent="0.65">
      <c r="E17" s="250"/>
      <c r="F17" s="6"/>
    </row>
    <row r="18" spans="1:6" x14ac:dyDescent="0.65">
      <c r="E18" s="250"/>
      <c r="F18" s="6"/>
    </row>
    <row r="19" spans="1:6" x14ac:dyDescent="0.65">
      <c r="E19" s="250"/>
      <c r="F19" s="6"/>
    </row>
    <row r="20" spans="1:6" x14ac:dyDescent="0.65">
      <c r="E20" s="250"/>
      <c r="F20" s="6"/>
    </row>
    <row r="21" spans="1:6" x14ac:dyDescent="0.65">
      <c r="E21" s="250"/>
      <c r="F21" s="6"/>
    </row>
    <row r="22" spans="1:6" x14ac:dyDescent="0.65">
      <c r="E22" s="250"/>
      <c r="F22" s="6"/>
    </row>
    <row r="23" spans="1:6" x14ac:dyDescent="0.65">
      <c r="E23" s="250"/>
      <c r="F23" s="6"/>
    </row>
    <row r="24" spans="1:6" x14ac:dyDescent="0.65">
      <c r="E24" s="250"/>
      <c r="F24" s="6"/>
    </row>
    <row r="25" spans="1:6" x14ac:dyDescent="0.65">
      <c r="E25" s="250"/>
      <c r="F25" s="6"/>
    </row>
    <row r="26" spans="1:6" x14ac:dyDescent="0.65">
      <c r="A26" s="448"/>
      <c r="B26" s="60"/>
      <c r="C26" s="489"/>
      <c r="D26" s="490"/>
      <c r="E26" s="490"/>
      <c r="F26" s="488"/>
    </row>
    <row r="27" spans="1:6" x14ac:dyDescent="0.65">
      <c r="A27" s="448"/>
      <c r="B27" s="60"/>
      <c r="C27" s="489"/>
      <c r="D27" s="490"/>
      <c r="E27" s="490"/>
      <c r="F27" s="488"/>
    </row>
    <row r="28" spans="1:6" x14ac:dyDescent="0.65">
      <c r="A28" s="716" t="s">
        <v>414</v>
      </c>
      <c r="B28" s="716"/>
      <c r="C28" s="716"/>
      <c r="D28" s="716"/>
      <c r="E28" s="716"/>
      <c r="F28" s="716"/>
    </row>
    <row r="29" spans="1:6" x14ac:dyDescent="0.65">
      <c r="A29" s="716" t="s">
        <v>107</v>
      </c>
      <c r="B29" s="716"/>
      <c r="C29" s="716"/>
      <c r="D29" s="716"/>
      <c r="E29" s="716"/>
      <c r="F29" s="716"/>
    </row>
    <row r="30" spans="1:6" x14ac:dyDescent="0.65">
      <c r="A30" s="716" t="s">
        <v>606</v>
      </c>
      <c r="B30" s="716"/>
      <c r="C30" s="716"/>
      <c r="D30" s="716"/>
      <c r="E30" s="716"/>
      <c r="F30" s="716"/>
    </row>
    <row r="31" spans="1:6" x14ac:dyDescent="0.65">
      <c r="A31" s="449"/>
      <c r="B31" s="449"/>
      <c r="C31" s="449"/>
      <c r="D31" s="449"/>
      <c r="E31" s="446"/>
      <c r="F31" s="449"/>
    </row>
    <row r="32" spans="1:6" x14ac:dyDescent="0.65">
      <c r="A32" s="776" t="s">
        <v>504</v>
      </c>
      <c r="B32" s="776"/>
      <c r="C32" s="776"/>
      <c r="D32" s="776"/>
      <c r="E32" s="491"/>
      <c r="F32" s="6"/>
    </row>
    <row r="33" spans="1:6" x14ac:dyDescent="0.65">
      <c r="A33" s="251"/>
      <c r="B33" s="251"/>
      <c r="C33" s="492">
        <v>2561</v>
      </c>
      <c r="D33" s="449"/>
      <c r="E33" s="716">
        <v>2560</v>
      </c>
      <c r="F33" s="716"/>
    </row>
    <row r="34" spans="1:6" x14ac:dyDescent="0.65">
      <c r="A34" s="493" t="s">
        <v>678</v>
      </c>
      <c r="B34" s="6"/>
      <c r="C34" s="148">
        <v>617750</v>
      </c>
      <c r="D34" s="148"/>
      <c r="E34" s="772">
        <v>353455</v>
      </c>
      <c r="F34" s="772"/>
    </row>
    <row r="35" spans="1:6" x14ac:dyDescent="0.65">
      <c r="A35" s="494" t="s">
        <v>41</v>
      </c>
      <c r="B35" s="6"/>
      <c r="C35" s="148">
        <v>11655.49</v>
      </c>
      <c r="D35" s="148"/>
      <c r="E35" s="772">
        <v>9537.7199999999993</v>
      </c>
      <c r="F35" s="772"/>
    </row>
    <row r="36" spans="1:6" x14ac:dyDescent="0.65">
      <c r="A36" s="494" t="s">
        <v>42</v>
      </c>
      <c r="B36" s="6"/>
      <c r="C36" s="148">
        <v>5150.41</v>
      </c>
      <c r="D36" s="148"/>
      <c r="E36" s="772">
        <v>5150.41</v>
      </c>
      <c r="F36" s="772"/>
    </row>
    <row r="37" spans="1:6" x14ac:dyDescent="0.65">
      <c r="A37" s="495" t="s">
        <v>43</v>
      </c>
      <c r="B37" s="6"/>
      <c r="C37" s="148">
        <v>19265.25</v>
      </c>
      <c r="D37" s="148"/>
      <c r="E37" s="772">
        <v>34294.97</v>
      </c>
      <c r="F37" s="772"/>
    </row>
    <row r="38" spans="1:6" x14ac:dyDescent="0.65">
      <c r="A38" s="495" t="s">
        <v>679</v>
      </c>
      <c r="B38" s="6"/>
      <c r="C38" s="252">
        <v>647359.19999999995</v>
      </c>
      <c r="D38" s="252"/>
      <c r="E38" s="775">
        <v>624929.21</v>
      </c>
      <c r="F38" s="775"/>
    </row>
    <row r="39" spans="1:6" x14ac:dyDescent="0.65">
      <c r="A39" s="496" t="s">
        <v>817</v>
      </c>
      <c r="B39" s="6"/>
      <c r="C39" s="252">
        <v>12976</v>
      </c>
      <c r="D39" s="252"/>
      <c r="E39" s="775">
        <v>320476</v>
      </c>
      <c r="F39" s="775"/>
    </row>
    <row r="40" spans="1:6" x14ac:dyDescent="0.65">
      <c r="A40" s="496" t="s">
        <v>680</v>
      </c>
      <c r="B40" s="6"/>
      <c r="C40" s="148">
        <v>126206</v>
      </c>
      <c r="D40" s="148"/>
      <c r="E40" s="772">
        <v>58422</v>
      </c>
      <c r="F40" s="772"/>
    </row>
    <row r="41" spans="1:6" x14ac:dyDescent="0.65">
      <c r="A41" s="497" t="s">
        <v>681</v>
      </c>
      <c r="B41" s="6"/>
      <c r="C41" s="148">
        <v>131185.31</v>
      </c>
      <c r="D41" s="148"/>
      <c r="E41" s="148"/>
      <c r="F41" s="252"/>
    </row>
    <row r="42" spans="1:6" x14ac:dyDescent="0.65">
      <c r="A42" s="496" t="s">
        <v>682</v>
      </c>
      <c r="B42" s="6"/>
      <c r="C42" s="252">
        <v>0</v>
      </c>
      <c r="D42" s="252"/>
      <c r="E42" s="773">
        <v>53750</v>
      </c>
      <c r="F42" s="773"/>
    </row>
    <row r="43" spans="1:6" ht="28.5" x14ac:dyDescent="0.7">
      <c r="A43" s="447" t="s">
        <v>14</v>
      </c>
      <c r="B43" s="6"/>
      <c r="C43" s="688">
        <f>SUM(C34:C42)</f>
        <v>1571547.6600000001</v>
      </c>
      <c r="D43" s="498"/>
      <c r="E43" s="774">
        <f>SUM(E34:E42)</f>
        <v>1460015.31</v>
      </c>
      <c r="F43" s="774"/>
    </row>
    <row r="44" spans="1:6" x14ac:dyDescent="0.65">
      <c r="A44" s="449"/>
      <c r="C44" s="246"/>
      <c r="E44" s="250"/>
      <c r="F44" s="250"/>
    </row>
    <row r="45" spans="1:6" x14ac:dyDescent="0.65">
      <c r="E45" s="250"/>
      <c r="F45" s="6"/>
    </row>
    <row r="46" spans="1:6" x14ac:dyDescent="0.65">
      <c r="E46" s="250"/>
      <c r="F46" s="6"/>
    </row>
    <row r="47" spans="1:6" x14ac:dyDescent="0.65">
      <c r="E47" s="250"/>
      <c r="F47" s="6"/>
    </row>
    <row r="48" spans="1:6" x14ac:dyDescent="0.65">
      <c r="E48" s="250"/>
      <c r="F48" s="6"/>
    </row>
    <row r="49" spans="5:6" x14ac:dyDescent="0.65">
      <c r="E49" s="250"/>
      <c r="F49" s="6"/>
    </row>
    <row r="50" spans="5:6" x14ac:dyDescent="0.65">
      <c r="E50" s="250"/>
      <c r="F50" s="6"/>
    </row>
    <row r="51" spans="5:6" x14ac:dyDescent="0.65">
      <c r="E51" s="250"/>
      <c r="F51" s="6"/>
    </row>
    <row r="52" spans="5:6" x14ac:dyDescent="0.65">
      <c r="E52" s="250"/>
      <c r="F52" s="6"/>
    </row>
    <row r="53" spans="5:6" x14ac:dyDescent="0.65">
      <c r="E53" s="250"/>
      <c r="F53" s="6"/>
    </row>
    <row r="54" spans="5:6" x14ac:dyDescent="0.65">
      <c r="E54" s="250"/>
      <c r="F54" s="6"/>
    </row>
    <row r="59" spans="5:6" s="250" customFormat="1" x14ac:dyDescent="0.65">
      <c r="E59" s="60"/>
    </row>
    <row r="60" spans="5:6" s="250" customFormat="1" x14ac:dyDescent="0.65">
      <c r="E60" s="60"/>
    </row>
    <row r="61" spans="5:6" s="250" customFormat="1" x14ac:dyDescent="0.65">
      <c r="E61" s="60"/>
    </row>
  </sheetData>
  <mergeCells count="18">
    <mergeCell ref="A1:F1"/>
    <mergeCell ref="A2:F2"/>
    <mergeCell ref="A3:F3"/>
    <mergeCell ref="A4:D4"/>
    <mergeCell ref="A28:F28"/>
    <mergeCell ref="A29:F29"/>
    <mergeCell ref="A30:F30"/>
    <mergeCell ref="A32:D32"/>
    <mergeCell ref="E33:F33"/>
    <mergeCell ref="E34:F34"/>
    <mergeCell ref="E40:F40"/>
    <mergeCell ref="E42:F42"/>
    <mergeCell ref="E43:F43"/>
    <mergeCell ref="E35:F35"/>
    <mergeCell ref="E36:F36"/>
    <mergeCell ref="E37:F37"/>
    <mergeCell ref="E38:F38"/>
    <mergeCell ref="E39:F39"/>
  </mergeCells>
  <pageMargins left="0.52" right="0.24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view="pageBreakPreview" topLeftCell="A112" zoomScale="80" zoomScaleNormal="100" zoomScaleSheetLayoutView="80" workbookViewId="0">
      <selection activeCell="G26" sqref="G26"/>
    </sheetView>
  </sheetViews>
  <sheetFormatPr defaultRowHeight="27.75" x14ac:dyDescent="0.65"/>
  <cols>
    <col min="1" max="1" width="9.7109375" style="29" customWidth="1"/>
    <col min="2" max="2" width="9.28515625" style="29" customWidth="1"/>
    <col min="3" max="3" width="15.7109375" style="29" customWidth="1"/>
    <col min="4" max="4" width="9.7109375" style="29" customWidth="1"/>
    <col min="5" max="5" width="14.42578125" style="29" customWidth="1"/>
    <col min="6" max="6" width="25" style="29" customWidth="1"/>
    <col min="7" max="7" width="13.7109375" style="502" customWidth="1"/>
    <col min="8" max="8" width="3.28515625" style="29" customWidth="1"/>
    <col min="9" max="9" width="14" style="501" customWidth="1"/>
  </cols>
  <sheetData>
    <row r="1" spans="1:10" x14ac:dyDescent="0.65">
      <c r="A1" s="716" t="s">
        <v>414</v>
      </c>
      <c r="B1" s="716"/>
      <c r="C1" s="716"/>
      <c r="D1" s="716"/>
      <c r="E1" s="716"/>
      <c r="F1" s="716"/>
      <c r="G1" s="716"/>
      <c r="H1" s="716"/>
    </row>
    <row r="2" spans="1:10" x14ac:dyDescent="0.65">
      <c r="A2" s="716" t="s">
        <v>107</v>
      </c>
      <c r="B2" s="716"/>
      <c r="C2" s="716"/>
      <c r="D2" s="716"/>
      <c r="E2" s="716"/>
      <c r="F2" s="716"/>
      <c r="G2" s="716"/>
      <c r="H2" s="716"/>
    </row>
    <row r="3" spans="1:10" x14ac:dyDescent="0.65">
      <c r="A3" s="716" t="s">
        <v>606</v>
      </c>
      <c r="B3" s="716"/>
      <c r="C3" s="716"/>
      <c r="D3" s="716"/>
      <c r="E3" s="716"/>
      <c r="F3" s="716"/>
      <c r="G3" s="716"/>
      <c r="H3" s="716"/>
    </row>
    <row r="4" spans="1:10" x14ac:dyDescent="0.65">
      <c r="A4" s="780" t="s">
        <v>503</v>
      </c>
      <c r="B4" s="780"/>
      <c r="C4" s="780"/>
      <c r="D4" s="780"/>
      <c r="E4" s="780"/>
    </row>
    <row r="5" spans="1:10" x14ac:dyDescent="0.65">
      <c r="A5" s="503" t="s">
        <v>661</v>
      </c>
      <c r="G5" s="252"/>
      <c r="H5" s="60"/>
      <c r="I5" s="504"/>
    </row>
    <row r="6" spans="1:10" ht="24" x14ac:dyDescent="0.55000000000000004">
      <c r="A6" s="505" t="s">
        <v>419</v>
      </c>
      <c r="B6" s="470" t="s">
        <v>420</v>
      </c>
      <c r="C6" s="247" t="s">
        <v>421</v>
      </c>
      <c r="D6" s="247" t="s">
        <v>422</v>
      </c>
      <c r="E6" s="470" t="s">
        <v>423</v>
      </c>
      <c r="F6" s="470" t="s">
        <v>424</v>
      </c>
      <c r="G6" s="741" t="s">
        <v>15</v>
      </c>
      <c r="H6" s="741"/>
    </row>
    <row r="7" spans="1:10" ht="24" x14ac:dyDescent="0.45">
      <c r="A7" s="506" t="s">
        <v>99</v>
      </c>
      <c r="B7" s="163" t="s">
        <v>425</v>
      </c>
      <c r="C7" s="253" t="s">
        <v>426</v>
      </c>
      <c r="D7" s="254" t="s">
        <v>7</v>
      </c>
      <c r="E7" s="255" t="s">
        <v>427</v>
      </c>
      <c r="F7" s="256" t="s">
        <v>428</v>
      </c>
      <c r="G7" s="253">
        <v>9000</v>
      </c>
      <c r="H7" s="507">
        <v>0</v>
      </c>
    </row>
    <row r="8" spans="1:10" ht="24" x14ac:dyDescent="0.55000000000000004">
      <c r="A8" s="508"/>
      <c r="B8" s="37" t="s">
        <v>429</v>
      </c>
      <c r="C8" s="257"/>
      <c r="D8" s="258"/>
      <c r="E8" s="165" t="s">
        <v>430</v>
      </c>
      <c r="F8" s="164" t="s">
        <v>431</v>
      </c>
      <c r="G8" s="257"/>
      <c r="H8" s="509"/>
      <c r="I8" s="510"/>
      <c r="J8" s="511"/>
    </row>
    <row r="9" spans="1:10" ht="24" x14ac:dyDescent="0.45">
      <c r="A9" s="512"/>
      <c r="B9" s="259"/>
      <c r="C9" s="260"/>
      <c r="D9" s="261"/>
      <c r="E9" s="259"/>
      <c r="F9" s="262" t="s">
        <v>432</v>
      </c>
      <c r="G9" s="261"/>
      <c r="H9" s="284"/>
    </row>
    <row r="10" spans="1:10" ht="24" x14ac:dyDescent="0.45">
      <c r="A10" s="203" t="s">
        <v>99</v>
      </c>
      <c r="B10" s="166" t="s">
        <v>425</v>
      </c>
      <c r="C10" s="257" t="s">
        <v>426</v>
      </c>
      <c r="D10" s="258" t="s">
        <v>7</v>
      </c>
      <c r="E10" s="165" t="s">
        <v>427</v>
      </c>
      <c r="F10" s="164" t="s">
        <v>428</v>
      </c>
      <c r="G10" s="280">
        <v>9000</v>
      </c>
      <c r="H10" s="279">
        <v>0</v>
      </c>
    </row>
    <row r="11" spans="1:10" ht="24" x14ac:dyDescent="0.45">
      <c r="A11" s="508"/>
      <c r="B11" s="166" t="s">
        <v>429</v>
      </c>
      <c r="C11" s="257"/>
      <c r="D11" s="258"/>
      <c r="E11" s="165" t="s">
        <v>430</v>
      </c>
      <c r="F11" s="164" t="s">
        <v>431</v>
      </c>
      <c r="G11" s="258"/>
      <c r="H11" s="166"/>
    </row>
    <row r="12" spans="1:10" ht="24" x14ac:dyDescent="0.45">
      <c r="A12" s="512"/>
      <c r="B12" s="259"/>
      <c r="C12" s="260"/>
      <c r="D12" s="261"/>
      <c r="E12" s="263"/>
      <c r="F12" s="262" t="s">
        <v>432</v>
      </c>
      <c r="G12" s="261"/>
      <c r="H12" s="262"/>
    </row>
    <row r="13" spans="1:10" ht="24" x14ac:dyDescent="0.45">
      <c r="A13" s="203" t="s">
        <v>99</v>
      </c>
      <c r="B13" s="166" t="s">
        <v>425</v>
      </c>
      <c r="C13" s="257" t="s">
        <v>426</v>
      </c>
      <c r="D13" s="258" t="s">
        <v>7</v>
      </c>
      <c r="E13" s="165" t="s">
        <v>427</v>
      </c>
      <c r="F13" s="164" t="s">
        <v>684</v>
      </c>
      <c r="G13" s="280">
        <v>7000</v>
      </c>
      <c r="H13" s="279">
        <v>0</v>
      </c>
    </row>
    <row r="14" spans="1:10" ht="24" x14ac:dyDescent="0.45">
      <c r="A14" s="512"/>
      <c r="B14" s="259" t="s">
        <v>429</v>
      </c>
      <c r="C14" s="260"/>
      <c r="D14" s="261"/>
      <c r="E14" s="263" t="s">
        <v>430</v>
      </c>
      <c r="F14" s="262" t="s">
        <v>685</v>
      </c>
      <c r="G14" s="260"/>
      <c r="H14" s="259"/>
    </row>
    <row r="15" spans="1:10" ht="24" x14ac:dyDescent="0.55000000000000004">
      <c r="A15" s="203" t="s">
        <v>99</v>
      </c>
      <c r="B15" s="166" t="s">
        <v>425</v>
      </c>
      <c r="C15" s="55" t="s">
        <v>426</v>
      </c>
      <c r="D15" s="37" t="s">
        <v>8</v>
      </c>
      <c r="E15" s="35" t="s">
        <v>8</v>
      </c>
      <c r="F15" s="35" t="s">
        <v>454</v>
      </c>
      <c r="G15" s="55">
        <v>600</v>
      </c>
      <c r="H15" s="37" t="s">
        <v>6</v>
      </c>
    </row>
    <row r="16" spans="1:10" ht="24" x14ac:dyDescent="0.55000000000000004">
      <c r="A16" s="513"/>
      <c r="B16" s="259" t="s">
        <v>429</v>
      </c>
      <c r="C16" s="267"/>
      <c r="D16" s="268"/>
      <c r="E16" s="266"/>
      <c r="F16" s="266" t="s">
        <v>686</v>
      </c>
      <c r="G16" s="267"/>
      <c r="H16" s="268"/>
    </row>
    <row r="17" spans="1:9" ht="24" x14ac:dyDescent="0.55000000000000004">
      <c r="A17" s="203" t="s">
        <v>99</v>
      </c>
      <c r="B17" s="166" t="s">
        <v>433</v>
      </c>
      <c r="C17" s="55" t="s">
        <v>687</v>
      </c>
      <c r="D17" s="37" t="s">
        <v>8</v>
      </c>
      <c r="E17" s="213" t="s">
        <v>688</v>
      </c>
      <c r="F17" s="35" t="s">
        <v>689</v>
      </c>
      <c r="G17" s="55">
        <v>6329</v>
      </c>
      <c r="H17" s="199">
        <v>96</v>
      </c>
    </row>
    <row r="18" spans="1:9" x14ac:dyDescent="0.65">
      <c r="A18" s="513"/>
      <c r="B18" s="259"/>
      <c r="C18" s="267" t="s">
        <v>690</v>
      </c>
      <c r="D18" s="268"/>
      <c r="F18" s="266" t="s">
        <v>691</v>
      </c>
      <c r="G18" s="267"/>
      <c r="H18" s="268"/>
    </row>
    <row r="19" spans="1:9" ht="24" x14ac:dyDescent="0.5">
      <c r="A19" s="213" t="s">
        <v>99</v>
      </c>
      <c r="B19" s="279" t="s">
        <v>465</v>
      </c>
      <c r="C19" s="514" t="s">
        <v>466</v>
      </c>
      <c r="D19" s="515" t="s">
        <v>7</v>
      </c>
      <c r="E19" s="281" t="s">
        <v>427</v>
      </c>
      <c r="F19" s="516" t="s">
        <v>692</v>
      </c>
      <c r="G19" s="517">
        <v>7000</v>
      </c>
      <c r="H19" s="166" t="s">
        <v>6</v>
      </c>
    </row>
    <row r="20" spans="1:9" x14ac:dyDescent="0.5">
      <c r="A20" s="213"/>
      <c r="B20" s="166" t="s">
        <v>468</v>
      </c>
      <c r="C20" s="518" t="s">
        <v>693</v>
      </c>
      <c r="D20" s="519"/>
      <c r="E20" s="263" t="s">
        <v>430</v>
      </c>
      <c r="F20" s="16" t="s">
        <v>470</v>
      </c>
      <c r="G20" s="260"/>
      <c r="H20" s="262"/>
    </row>
    <row r="21" spans="1:9" ht="24" x14ac:dyDescent="0.5">
      <c r="A21" s="514" t="s">
        <v>99</v>
      </c>
      <c r="B21" s="279" t="s">
        <v>465</v>
      </c>
      <c r="C21" s="514" t="s">
        <v>466</v>
      </c>
      <c r="D21" s="515" t="s">
        <v>7</v>
      </c>
      <c r="E21" s="165" t="s">
        <v>427</v>
      </c>
      <c r="F21" s="516" t="s">
        <v>692</v>
      </c>
      <c r="G21" s="517">
        <v>7000</v>
      </c>
      <c r="H21" s="166" t="s">
        <v>6</v>
      </c>
    </row>
    <row r="22" spans="1:9" x14ac:dyDescent="0.5">
      <c r="A22" s="213"/>
      <c r="B22" s="166" t="s">
        <v>468</v>
      </c>
      <c r="C22" s="518" t="s">
        <v>693</v>
      </c>
      <c r="D22" s="519"/>
      <c r="E22" s="263" t="s">
        <v>430</v>
      </c>
      <c r="F22" s="16" t="s">
        <v>470</v>
      </c>
      <c r="G22" s="517"/>
      <c r="H22" s="164"/>
    </row>
    <row r="23" spans="1:9" ht="24" x14ac:dyDescent="0.5">
      <c r="A23" s="514" t="s">
        <v>99</v>
      </c>
      <c r="B23" s="279" t="s">
        <v>465</v>
      </c>
      <c r="C23" s="514" t="s">
        <v>466</v>
      </c>
      <c r="D23" s="520" t="s">
        <v>7</v>
      </c>
      <c r="E23" s="281" t="s">
        <v>427</v>
      </c>
      <c r="F23" s="516" t="s">
        <v>692</v>
      </c>
      <c r="G23" s="278">
        <v>7000</v>
      </c>
      <c r="H23" s="279" t="s">
        <v>6</v>
      </c>
    </row>
    <row r="24" spans="1:9" ht="24" x14ac:dyDescent="0.55000000000000004">
      <c r="A24" s="203"/>
      <c r="B24" s="166" t="s">
        <v>468</v>
      </c>
      <c r="C24" s="1" t="s">
        <v>693</v>
      </c>
      <c r="D24" s="521"/>
      <c r="E24" s="165" t="s">
        <v>430</v>
      </c>
      <c r="F24" s="522" t="s">
        <v>470</v>
      </c>
      <c r="G24" s="55"/>
      <c r="H24" s="35"/>
    </row>
    <row r="25" spans="1:9" ht="24" x14ac:dyDescent="0.55000000000000004">
      <c r="A25" s="513"/>
      <c r="B25" s="266"/>
      <c r="C25" s="283"/>
      <c r="D25" s="523"/>
      <c r="E25" s="269"/>
      <c r="F25" s="164"/>
      <c r="G25" s="267"/>
      <c r="H25" s="266"/>
    </row>
    <row r="26" spans="1:9" ht="24" x14ac:dyDescent="0.55000000000000004">
      <c r="A26" s="524" t="s">
        <v>99</v>
      </c>
      <c r="B26" s="279" t="s">
        <v>465</v>
      </c>
      <c r="C26" s="285" t="s">
        <v>472</v>
      </c>
      <c r="D26" s="37" t="s">
        <v>7</v>
      </c>
      <c r="E26" s="281" t="s">
        <v>427</v>
      </c>
      <c r="F26" s="274" t="s">
        <v>475</v>
      </c>
      <c r="G26" s="517">
        <v>7000</v>
      </c>
      <c r="H26" s="166" t="s">
        <v>6</v>
      </c>
    </row>
    <row r="27" spans="1:9" ht="24" x14ac:dyDescent="0.55000000000000004">
      <c r="A27" s="166"/>
      <c r="B27" s="166" t="s">
        <v>468</v>
      </c>
      <c r="C27" s="55" t="s">
        <v>473</v>
      </c>
      <c r="D27" s="37"/>
      <c r="E27" s="165" t="s">
        <v>430</v>
      </c>
      <c r="F27" s="35" t="s">
        <v>476</v>
      </c>
      <c r="G27" s="55"/>
      <c r="H27" s="37"/>
    </row>
    <row r="28" spans="1:9" ht="24" x14ac:dyDescent="0.55000000000000004">
      <c r="A28" s="525"/>
      <c r="B28" s="526"/>
      <c r="C28" s="526" t="s">
        <v>474</v>
      </c>
      <c r="D28" s="38"/>
      <c r="E28" s="311"/>
      <c r="F28" s="36" t="s">
        <v>477</v>
      </c>
      <c r="G28" s="306"/>
      <c r="H28" s="276"/>
    </row>
    <row r="29" spans="1:9" ht="24" x14ac:dyDescent="0.55000000000000004">
      <c r="A29" s="744" t="s">
        <v>14</v>
      </c>
      <c r="B29" s="752"/>
      <c r="C29" s="752"/>
      <c r="D29" s="752"/>
      <c r="E29" s="752"/>
      <c r="F29" s="745"/>
      <c r="G29" s="527">
        <f>SUM(G7:G28)</f>
        <v>59929</v>
      </c>
      <c r="H29" s="42">
        <v>96</v>
      </c>
      <c r="I29" s="528">
        <f>25000+600+6329.96+21000+7000</f>
        <v>59929.96</v>
      </c>
    </row>
    <row r="30" spans="1:9" ht="24" x14ac:dyDescent="0.55000000000000004">
      <c r="A30" s="292"/>
      <c r="B30" s="292"/>
      <c r="C30" s="292"/>
      <c r="D30" s="292"/>
      <c r="E30" s="292"/>
      <c r="F30" s="292"/>
      <c r="G30" s="529"/>
      <c r="H30" s="530"/>
      <c r="I30" s="528"/>
    </row>
    <row r="31" spans="1:9" x14ac:dyDescent="0.65">
      <c r="A31" s="780" t="s">
        <v>503</v>
      </c>
      <c r="B31" s="780"/>
      <c r="C31" s="780"/>
      <c r="D31" s="780"/>
      <c r="E31" s="780"/>
      <c r="G31" s="781" t="s">
        <v>236</v>
      </c>
      <c r="H31" s="781"/>
    </row>
    <row r="32" spans="1:9" ht="24" x14ac:dyDescent="0.55000000000000004">
      <c r="A32" s="469" t="s">
        <v>419</v>
      </c>
      <c r="B32" s="470" t="s">
        <v>420</v>
      </c>
      <c r="C32" s="247" t="s">
        <v>421</v>
      </c>
      <c r="D32" s="247" t="s">
        <v>422</v>
      </c>
      <c r="E32" s="470" t="s">
        <v>423</v>
      </c>
      <c r="F32" s="470" t="s">
        <v>424</v>
      </c>
      <c r="G32" s="741" t="s">
        <v>15</v>
      </c>
      <c r="H32" s="741"/>
    </row>
    <row r="33" spans="1:9" s="532" customFormat="1" ht="24" x14ac:dyDescent="0.45">
      <c r="A33" s="279" t="s">
        <v>9</v>
      </c>
      <c r="B33" s="279" t="s">
        <v>465</v>
      </c>
      <c r="C33" s="279" t="s">
        <v>485</v>
      </c>
      <c r="D33" s="280" t="s">
        <v>486</v>
      </c>
      <c r="E33" s="279" t="s">
        <v>487</v>
      </c>
      <c r="F33" s="531" t="s">
        <v>694</v>
      </c>
      <c r="G33" s="517">
        <v>495000</v>
      </c>
      <c r="H33" s="166" t="s">
        <v>6</v>
      </c>
      <c r="I33" s="501"/>
    </row>
    <row r="34" spans="1:9" s="532" customFormat="1" ht="24" x14ac:dyDescent="0.45">
      <c r="A34" s="166" t="s">
        <v>489</v>
      </c>
      <c r="B34" s="166" t="s">
        <v>468</v>
      </c>
      <c r="C34" s="166"/>
      <c r="D34" s="258" t="s">
        <v>490</v>
      </c>
      <c r="E34" s="166" t="s">
        <v>491</v>
      </c>
      <c r="F34" s="154" t="s">
        <v>695</v>
      </c>
      <c r="G34" s="517"/>
      <c r="H34" s="166"/>
      <c r="I34" s="501"/>
    </row>
    <row r="35" spans="1:9" s="532" customFormat="1" ht="24" x14ac:dyDescent="0.45">
      <c r="A35" s="259"/>
      <c r="B35" s="262"/>
      <c r="C35" s="283"/>
      <c r="D35" s="261" t="s">
        <v>493</v>
      </c>
      <c r="E35" s="263"/>
      <c r="F35" s="533" t="s">
        <v>696</v>
      </c>
      <c r="G35" s="534"/>
      <c r="H35" s="259"/>
      <c r="I35" s="501"/>
    </row>
    <row r="36" spans="1:9" s="532" customFormat="1" ht="24" x14ac:dyDescent="0.45">
      <c r="A36" s="279" t="s">
        <v>9</v>
      </c>
      <c r="B36" s="279" t="s">
        <v>465</v>
      </c>
      <c r="C36" s="279" t="s">
        <v>485</v>
      </c>
      <c r="D36" s="280" t="s">
        <v>486</v>
      </c>
      <c r="E36" s="279" t="s">
        <v>487</v>
      </c>
      <c r="F36" s="282" t="s">
        <v>488</v>
      </c>
      <c r="G36" s="517">
        <v>1083000</v>
      </c>
      <c r="H36" s="166" t="s">
        <v>6</v>
      </c>
      <c r="I36" s="501"/>
    </row>
    <row r="37" spans="1:9" s="532" customFormat="1" ht="24" x14ac:dyDescent="0.45">
      <c r="A37" s="166" t="s">
        <v>489</v>
      </c>
      <c r="B37" s="166" t="s">
        <v>468</v>
      </c>
      <c r="C37" s="166"/>
      <c r="D37" s="258" t="s">
        <v>490</v>
      </c>
      <c r="E37" s="166" t="s">
        <v>491</v>
      </c>
      <c r="F37" s="164" t="s">
        <v>697</v>
      </c>
      <c r="G37" s="517"/>
      <c r="H37" s="166"/>
      <c r="I37" s="501"/>
    </row>
    <row r="38" spans="1:9" s="532" customFormat="1" ht="24" x14ac:dyDescent="0.45">
      <c r="A38" s="259"/>
      <c r="B38" s="262"/>
      <c r="C38" s="283"/>
      <c r="D38" s="261" t="s">
        <v>493</v>
      </c>
      <c r="E38" s="263"/>
      <c r="F38" s="262" t="s">
        <v>698</v>
      </c>
      <c r="G38" s="534"/>
      <c r="H38" s="259"/>
      <c r="I38" s="501"/>
    </row>
    <row r="39" spans="1:9" s="4" customFormat="1" ht="24" x14ac:dyDescent="0.45">
      <c r="A39" s="279" t="s">
        <v>9</v>
      </c>
      <c r="B39" s="279" t="s">
        <v>465</v>
      </c>
      <c r="C39" s="279" t="s">
        <v>485</v>
      </c>
      <c r="D39" s="280" t="s">
        <v>486</v>
      </c>
      <c r="E39" s="279" t="s">
        <v>487</v>
      </c>
      <c r="F39" s="531" t="s">
        <v>699</v>
      </c>
      <c r="G39" s="517">
        <v>4980000</v>
      </c>
      <c r="H39" s="166" t="s">
        <v>6</v>
      </c>
      <c r="I39" s="535"/>
    </row>
    <row r="40" spans="1:9" s="4" customFormat="1" ht="24" x14ac:dyDescent="0.45">
      <c r="A40" s="166" t="s">
        <v>489</v>
      </c>
      <c r="B40" s="166" t="s">
        <v>468</v>
      </c>
      <c r="C40" s="166"/>
      <c r="D40" s="258" t="s">
        <v>490</v>
      </c>
      <c r="E40" s="166" t="s">
        <v>491</v>
      </c>
      <c r="F40" s="154" t="s">
        <v>700</v>
      </c>
      <c r="G40" s="517"/>
      <c r="H40" s="166"/>
      <c r="I40" s="535"/>
    </row>
    <row r="41" spans="1:9" s="4" customFormat="1" ht="24" x14ac:dyDescent="0.45">
      <c r="A41" s="166"/>
      <c r="B41" s="166"/>
      <c r="C41" s="166"/>
      <c r="D41" s="258" t="s">
        <v>493</v>
      </c>
      <c r="E41" s="166"/>
      <c r="F41" s="154" t="s">
        <v>701</v>
      </c>
      <c r="G41" s="517"/>
      <c r="H41" s="166"/>
      <c r="I41" s="535"/>
    </row>
    <row r="42" spans="1:9" s="4" customFormat="1" ht="24" x14ac:dyDescent="0.45">
      <c r="A42" s="259"/>
      <c r="B42" s="262"/>
      <c r="C42" s="283"/>
      <c r="D42" s="261"/>
      <c r="E42" s="263"/>
      <c r="F42" s="533" t="s">
        <v>702</v>
      </c>
      <c r="G42" s="534"/>
      <c r="H42" s="259"/>
      <c r="I42" s="535"/>
    </row>
    <row r="43" spans="1:9" s="4" customFormat="1" ht="24" x14ac:dyDescent="0.45">
      <c r="A43" s="166" t="s">
        <v>9</v>
      </c>
      <c r="B43" s="166" t="s">
        <v>465</v>
      </c>
      <c r="C43" s="258" t="s">
        <v>485</v>
      </c>
      <c r="D43" s="258" t="s">
        <v>486</v>
      </c>
      <c r="E43" s="166" t="s">
        <v>487</v>
      </c>
      <c r="F43" s="164" t="s">
        <v>488</v>
      </c>
      <c r="G43" s="536">
        <v>1247500</v>
      </c>
      <c r="H43" s="166" t="s">
        <v>6</v>
      </c>
      <c r="I43" s="535"/>
    </row>
    <row r="44" spans="1:9" s="4" customFormat="1" ht="24" x14ac:dyDescent="0.45">
      <c r="A44" s="166" t="s">
        <v>489</v>
      </c>
      <c r="B44" s="166" t="s">
        <v>468</v>
      </c>
      <c r="C44" s="258"/>
      <c r="D44" s="258" t="s">
        <v>490</v>
      </c>
      <c r="E44" s="166" t="s">
        <v>491</v>
      </c>
      <c r="F44" s="164" t="s">
        <v>697</v>
      </c>
      <c r="G44" s="517"/>
      <c r="H44" s="166"/>
      <c r="I44" s="535"/>
    </row>
    <row r="45" spans="1:9" s="4" customFormat="1" ht="24" x14ac:dyDescent="0.45">
      <c r="A45" s="166"/>
      <c r="B45" s="259"/>
      <c r="C45" s="258"/>
      <c r="D45" s="261" t="s">
        <v>493</v>
      </c>
      <c r="E45" s="259"/>
      <c r="F45" s="262" t="s">
        <v>703</v>
      </c>
      <c r="G45" s="260"/>
      <c r="H45" s="259"/>
      <c r="I45" s="535"/>
    </row>
    <row r="46" spans="1:9" s="4" customFormat="1" ht="24" x14ac:dyDescent="0.45">
      <c r="A46" s="279" t="s">
        <v>9</v>
      </c>
      <c r="B46" s="166" t="s">
        <v>465</v>
      </c>
      <c r="C46" s="280" t="s">
        <v>485</v>
      </c>
      <c r="D46" s="258" t="s">
        <v>486</v>
      </c>
      <c r="E46" s="166" t="s">
        <v>487</v>
      </c>
      <c r="F46" s="164" t="s">
        <v>704</v>
      </c>
      <c r="G46" s="536">
        <v>400000</v>
      </c>
      <c r="H46" s="166" t="s">
        <v>6</v>
      </c>
      <c r="I46" s="535"/>
    </row>
    <row r="47" spans="1:9" s="4" customFormat="1" ht="24" x14ac:dyDescent="0.45">
      <c r="A47" s="166" t="s">
        <v>489</v>
      </c>
      <c r="B47" s="166" t="s">
        <v>468</v>
      </c>
      <c r="C47" s="264"/>
      <c r="D47" s="258" t="s">
        <v>490</v>
      </c>
      <c r="E47" s="166" t="s">
        <v>491</v>
      </c>
      <c r="F47" s="164" t="s">
        <v>705</v>
      </c>
      <c r="G47" s="517"/>
      <c r="H47" s="166"/>
      <c r="I47" s="535"/>
    </row>
    <row r="48" spans="1:9" s="4" customFormat="1" ht="24" x14ac:dyDescent="0.45">
      <c r="A48" s="166"/>
      <c r="B48" s="262"/>
      <c r="C48" s="283"/>
      <c r="D48" s="261" t="s">
        <v>493</v>
      </c>
      <c r="E48" s="263"/>
      <c r="F48" s="262" t="s">
        <v>706</v>
      </c>
      <c r="G48" s="260"/>
      <c r="H48" s="259"/>
      <c r="I48" s="535"/>
    </row>
    <row r="49" spans="1:9" s="4" customFormat="1" ht="24" x14ac:dyDescent="0.45">
      <c r="A49" s="279" t="s">
        <v>9</v>
      </c>
      <c r="B49" s="279" t="s">
        <v>465</v>
      </c>
      <c r="C49" s="279" t="s">
        <v>485</v>
      </c>
      <c r="D49" s="280" t="s">
        <v>486</v>
      </c>
      <c r="E49" s="279" t="s">
        <v>487</v>
      </c>
      <c r="F49" s="282" t="s">
        <v>488</v>
      </c>
      <c r="G49" s="278">
        <v>1378500</v>
      </c>
      <c r="H49" s="166" t="s">
        <v>6</v>
      </c>
      <c r="I49" s="535"/>
    </row>
    <row r="50" spans="1:9" s="4" customFormat="1" ht="24" x14ac:dyDescent="0.45">
      <c r="A50" s="166" t="s">
        <v>489</v>
      </c>
      <c r="B50" s="166" t="s">
        <v>468</v>
      </c>
      <c r="C50" s="166"/>
      <c r="D50" s="258" t="s">
        <v>490</v>
      </c>
      <c r="E50" s="166" t="s">
        <v>491</v>
      </c>
      <c r="F50" s="164" t="s">
        <v>497</v>
      </c>
      <c r="G50" s="517"/>
      <c r="H50" s="164"/>
      <c r="I50" s="535"/>
    </row>
    <row r="51" spans="1:9" s="532" customFormat="1" ht="24" x14ac:dyDescent="0.45">
      <c r="A51" s="225"/>
      <c r="B51" s="288"/>
      <c r="C51" s="289"/>
      <c r="D51" s="290" t="s">
        <v>493</v>
      </c>
      <c r="E51" s="291"/>
      <c r="F51" s="288" t="s">
        <v>707</v>
      </c>
      <c r="G51" s="537"/>
      <c r="H51" s="288"/>
      <c r="I51" s="501"/>
    </row>
    <row r="52" spans="1:9" s="532" customFormat="1" ht="24" x14ac:dyDescent="0.45">
      <c r="A52" s="778" t="s">
        <v>14</v>
      </c>
      <c r="B52" s="779"/>
      <c r="C52" s="779"/>
      <c r="D52" s="779"/>
      <c r="E52" s="779"/>
      <c r="F52" s="779"/>
      <c r="G52" s="538">
        <f>SUM(G33:G49)</f>
        <v>9584000</v>
      </c>
      <c r="H52" s="469" t="s">
        <v>6</v>
      </c>
      <c r="I52" s="501">
        <v>9584000</v>
      </c>
    </row>
    <row r="53" spans="1:9" s="532" customFormat="1" ht="24" x14ac:dyDescent="0.45">
      <c r="A53" s="292"/>
      <c r="B53" s="292"/>
      <c r="C53" s="292"/>
      <c r="D53" s="292"/>
      <c r="E53" s="292"/>
      <c r="F53" s="292"/>
      <c r="G53" s="539"/>
      <c r="H53" s="292"/>
      <c r="I53" s="501">
        <f>SUM(I29:I52)</f>
        <v>9643929.9600000009</v>
      </c>
    </row>
    <row r="54" spans="1:9" s="532" customFormat="1" ht="24" x14ac:dyDescent="0.45">
      <c r="A54" s="292"/>
      <c r="B54" s="292"/>
      <c r="C54" s="292"/>
      <c r="D54" s="292"/>
      <c r="E54" s="292"/>
      <c r="F54" s="292"/>
      <c r="G54" s="539"/>
      <c r="H54" s="292"/>
      <c r="I54" s="501"/>
    </row>
    <row r="55" spans="1:9" s="532" customFormat="1" ht="24" x14ac:dyDescent="0.45">
      <c r="A55" s="292"/>
      <c r="B55" s="292"/>
      <c r="C55" s="292"/>
      <c r="D55" s="292"/>
      <c r="E55" s="292"/>
      <c r="F55" s="292"/>
      <c r="G55" s="539"/>
      <c r="H55" s="292"/>
      <c r="I55" s="501"/>
    </row>
    <row r="56" spans="1:9" s="532" customFormat="1" ht="24" x14ac:dyDescent="0.45">
      <c r="A56" s="292"/>
      <c r="B56" s="292"/>
      <c r="C56" s="292"/>
      <c r="D56" s="292"/>
      <c r="E56" s="292"/>
      <c r="F56" s="292"/>
      <c r="G56" s="539"/>
      <c r="H56" s="292"/>
      <c r="I56" s="501"/>
    </row>
    <row r="57" spans="1:9" s="532" customFormat="1" ht="24" x14ac:dyDescent="0.45">
      <c r="A57" s="292"/>
      <c r="B57" s="292"/>
      <c r="C57" s="292"/>
      <c r="D57" s="292"/>
      <c r="E57" s="292"/>
      <c r="F57" s="292"/>
      <c r="G57" s="539"/>
      <c r="H57" s="292"/>
      <c r="I57" s="501"/>
    </row>
    <row r="58" spans="1:9" s="532" customFormat="1" ht="24" x14ac:dyDescent="0.45">
      <c r="A58" s="292"/>
      <c r="B58" s="292"/>
      <c r="C58" s="292"/>
      <c r="D58" s="292"/>
      <c r="E58" s="292"/>
      <c r="F58" s="292"/>
      <c r="G58" s="539"/>
      <c r="H58" s="292"/>
      <c r="I58" s="501"/>
    </row>
    <row r="59" spans="1:9" s="532" customFormat="1" ht="24" x14ac:dyDescent="0.45">
      <c r="A59" s="292"/>
      <c r="B59" s="292"/>
      <c r="C59" s="292"/>
      <c r="D59" s="292"/>
      <c r="E59" s="292"/>
      <c r="F59" s="292"/>
      <c r="G59" s="539"/>
      <c r="H59" s="292"/>
      <c r="I59" s="501"/>
    </row>
    <row r="60" spans="1:9" s="532" customFormat="1" ht="24" x14ac:dyDescent="0.45">
      <c r="A60" s="292"/>
      <c r="B60" s="292"/>
      <c r="C60" s="292"/>
      <c r="D60" s="292"/>
      <c r="E60" s="292"/>
      <c r="F60" s="292"/>
      <c r="G60" s="539"/>
      <c r="H60" s="292"/>
      <c r="I60" s="501"/>
    </row>
    <row r="61" spans="1:9" s="532" customFormat="1" ht="24" x14ac:dyDescent="0.45">
      <c r="A61" s="292"/>
      <c r="B61" s="292"/>
      <c r="C61" s="292"/>
      <c r="D61" s="292"/>
      <c r="E61" s="292"/>
      <c r="F61" s="292"/>
      <c r="G61" s="539"/>
      <c r="H61" s="292"/>
      <c r="I61" s="501"/>
    </row>
    <row r="62" spans="1:9" s="532" customFormat="1" x14ac:dyDescent="0.65">
      <c r="A62" s="780" t="s">
        <v>503</v>
      </c>
      <c r="B62" s="780"/>
      <c r="C62" s="780"/>
      <c r="D62" s="780"/>
      <c r="E62" s="780"/>
      <c r="F62" s="29"/>
      <c r="G62" s="781" t="s">
        <v>247</v>
      </c>
      <c r="H62" s="781"/>
      <c r="I62" s="501"/>
    </row>
    <row r="63" spans="1:9" s="532" customFormat="1" ht="24" x14ac:dyDescent="0.55000000000000004">
      <c r="A63" s="469" t="s">
        <v>419</v>
      </c>
      <c r="B63" s="470" t="s">
        <v>420</v>
      </c>
      <c r="C63" s="247" t="s">
        <v>421</v>
      </c>
      <c r="D63" s="247" t="s">
        <v>422</v>
      </c>
      <c r="E63" s="470" t="s">
        <v>423</v>
      </c>
      <c r="F63" s="470" t="s">
        <v>424</v>
      </c>
      <c r="G63" s="741" t="s">
        <v>15</v>
      </c>
      <c r="H63" s="741"/>
      <c r="I63" s="501"/>
    </row>
    <row r="64" spans="1:9" ht="24" x14ac:dyDescent="0.45">
      <c r="A64" s="279" t="s">
        <v>499</v>
      </c>
      <c r="B64" s="279" t="s">
        <v>465</v>
      </c>
      <c r="C64" s="279" t="s">
        <v>485</v>
      </c>
      <c r="D64" s="280" t="s">
        <v>486</v>
      </c>
      <c r="E64" s="279" t="s">
        <v>487</v>
      </c>
      <c r="F64" s="282" t="s">
        <v>694</v>
      </c>
      <c r="G64" s="517">
        <v>495000</v>
      </c>
      <c r="H64" s="166" t="s">
        <v>6</v>
      </c>
    </row>
    <row r="65" spans="1:9" ht="24" x14ac:dyDescent="0.2">
      <c r="A65" s="166" t="s">
        <v>501</v>
      </c>
      <c r="B65" s="166" t="s">
        <v>468</v>
      </c>
      <c r="C65" s="166"/>
      <c r="D65" s="258" t="s">
        <v>490</v>
      </c>
      <c r="E65" s="166" t="s">
        <v>491</v>
      </c>
      <c r="F65" s="164" t="s">
        <v>708</v>
      </c>
      <c r="G65" s="517"/>
      <c r="H65" s="166"/>
      <c r="I65"/>
    </row>
    <row r="66" spans="1:9" ht="24" x14ac:dyDescent="0.2">
      <c r="A66" s="166" t="s">
        <v>11</v>
      </c>
      <c r="B66" s="166"/>
      <c r="C66" s="166"/>
      <c r="D66" s="258" t="s">
        <v>493</v>
      </c>
      <c r="E66" s="166"/>
      <c r="F66" s="164" t="s">
        <v>709</v>
      </c>
      <c r="G66" s="517"/>
      <c r="H66" s="166"/>
      <c r="I66"/>
    </row>
    <row r="67" spans="1:9" ht="24" x14ac:dyDescent="0.2">
      <c r="A67" s="259"/>
      <c r="B67" s="262"/>
      <c r="C67" s="283"/>
      <c r="D67" s="261"/>
      <c r="E67" s="263"/>
      <c r="F67" s="533" t="s">
        <v>710</v>
      </c>
      <c r="G67" s="534"/>
      <c r="H67" s="259"/>
      <c r="I67"/>
    </row>
    <row r="68" spans="1:9" ht="24" x14ac:dyDescent="0.2">
      <c r="A68" s="279" t="s">
        <v>499</v>
      </c>
      <c r="B68" s="279" t="s">
        <v>465</v>
      </c>
      <c r="C68" s="279" t="s">
        <v>485</v>
      </c>
      <c r="D68" s="280" t="s">
        <v>486</v>
      </c>
      <c r="E68" s="279" t="s">
        <v>487</v>
      </c>
      <c r="F68" s="282" t="s">
        <v>711</v>
      </c>
      <c r="G68" s="278">
        <v>378000</v>
      </c>
      <c r="H68" s="166" t="s">
        <v>6</v>
      </c>
      <c r="I68"/>
    </row>
    <row r="69" spans="1:9" ht="24" x14ac:dyDescent="0.55000000000000004">
      <c r="A69" s="166" t="s">
        <v>501</v>
      </c>
      <c r="B69" s="166" t="s">
        <v>468</v>
      </c>
      <c r="C69" s="166"/>
      <c r="D69" s="258" t="s">
        <v>490</v>
      </c>
      <c r="E69" s="166" t="s">
        <v>491</v>
      </c>
      <c r="F69" s="164" t="s">
        <v>50</v>
      </c>
      <c r="G69" s="55"/>
      <c r="H69" s="37"/>
      <c r="I69"/>
    </row>
    <row r="70" spans="1:9" ht="24" x14ac:dyDescent="0.55000000000000004">
      <c r="A70" s="166" t="s">
        <v>11</v>
      </c>
      <c r="B70" s="166"/>
      <c r="C70" s="166"/>
      <c r="D70" s="258" t="s">
        <v>493</v>
      </c>
      <c r="E70" s="166"/>
      <c r="F70" s="164"/>
      <c r="G70" s="55"/>
      <c r="H70" s="37"/>
      <c r="I70"/>
    </row>
    <row r="71" spans="1:9" ht="24" x14ac:dyDescent="0.55000000000000004">
      <c r="A71" s="166"/>
      <c r="B71" s="166"/>
      <c r="C71" s="166"/>
      <c r="D71" s="258"/>
      <c r="E71" s="166"/>
      <c r="F71" s="164"/>
      <c r="G71" s="55"/>
      <c r="H71" s="37"/>
      <c r="I71"/>
    </row>
    <row r="72" spans="1:9" ht="24" x14ac:dyDescent="0.2">
      <c r="A72" s="744" t="s">
        <v>14</v>
      </c>
      <c r="B72" s="752"/>
      <c r="C72" s="752"/>
      <c r="D72" s="752"/>
      <c r="E72" s="752"/>
      <c r="F72" s="745"/>
      <c r="G72" s="540">
        <f>SUM(G64:G68)</f>
        <v>873000</v>
      </c>
      <c r="H72" s="469" t="s">
        <v>6</v>
      </c>
      <c r="I72"/>
    </row>
    <row r="73" spans="1:9" ht="24" x14ac:dyDescent="0.2">
      <c r="A73" s="292"/>
      <c r="B73" s="292"/>
      <c r="C73" s="292"/>
      <c r="D73" s="292"/>
      <c r="E73" s="292"/>
      <c r="F73" s="292"/>
      <c r="G73" s="541"/>
      <c r="H73" s="292"/>
      <c r="I73"/>
    </row>
    <row r="74" spans="1:9" ht="24" x14ac:dyDescent="0.2">
      <c r="A74" s="292"/>
      <c r="B74" s="292"/>
      <c r="C74" s="292"/>
      <c r="D74" s="292"/>
      <c r="E74" s="292"/>
      <c r="F74" s="292"/>
      <c r="G74" s="541"/>
      <c r="H74" s="292"/>
      <c r="I74"/>
    </row>
    <row r="75" spans="1:9" ht="24" x14ac:dyDescent="0.2">
      <c r="A75" s="292"/>
      <c r="B75" s="292"/>
      <c r="C75" s="292"/>
      <c r="D75" s="292"/>
      <c r="E75" s="292"/>
      <c r="F75" s="292"/>
      <c r="G75" s="541"/>
      <c r="H75" s="292"/>
      <c r="I75"/>
    </row>
    <row r="76" spans="1:9" ht="24" x14ac:dyDescent="0.2">
      <c r="A76" s="292"/>
      <c r="B76" s="292"/>
      <c r="C76" s="292"/>
      <c r="D76" s="292"/>
      <c r="E76" s="292"/>
      <c r="F76" s="292"/>
      <c r="G76" s="541"/>
      <c r="H76" s="292"/>
      <c r="I76"/>
    </row>
    <row r="77" spans="1:9" ht="24" x14ac:dyDescent="0.2">
      <c r="A77" s="292"/>
      <c r="B77" s="292"/>
      <c r="C77" s="292"/>
      <c r="D77" s="292"/>
      <c r="E77" s="292"/>
      <c r="F77" s="292"/>
      <c r="G77" s="541"/>
      <c r="H77" s="292"/>
      <c r="I77"/>
    </row>
    <row r="78" spans="1:9" ht="24" x14ac:dyDescent="0.2">
      <c r="A78" s="292"/>
      <c r="B78" s="292"/>
      <c r="C78" s="292"/>
      <c r="D78" s="292"/>
      <c r="E78" s="292"/>
      <c r="F78" s="292"/>
      <c r="G78" s="541"/>
      <c r="H78" s="292"/>
      <c r="I78"/>
    </row>
    <row r="79" spans="1:9" ht="24" x14ac:dyDescent="0.2">
      <c r="A79" s="292"/>
      <c r="B79" s="292"/>
      <c r="C79" s="292"/>
      <c r="D79" s="292"/>
      <c r="E79" s="292"/>
      <c r="F79" s="292"/>
      <c r="G79" s="541"/>
      <c r="H79" s="292"/>
      <c r="I79"/>
    </row>
    <row r="80" spans="1:9" ht="24" x14ac:dyDescent="0.2">
      <c r="A80" s="292"/>
      <c r="B80" s="292"/>
      <c r="C80" s="292"/>
      <c r="D80" s="292"/>
      <c r="E80" s="292"/>
      <c r="F80" s="292"/>
      <c r="G80" s="541"/>
      <c r="H80" s="292"/>
      <c r="I80"/>
    </row>
    <row r="81" spans="1:9" ht="24" x14ac:dyDescent="0.2">
      <c r="A81" s="292"/>
      <c r="B81" s="292"/>
      <c r="C81" s="292"/>
      <c r="D81" s="292"/>
      <c r="E81" s="292"/>
      <c r="F81" s="292"/>
      <c r="G81" s="541"/>
      <c r="H81" s="292"/>
      <c r="I81"/>
    </row>
    <row r="82" spans="1:9" ht="24" x14ac:dyDescent="0.2">
      <c r="A82" s="292"/>
      <c r="B82" s="292"/>
      <c r="C82" s="292"/>
      <c r="D82" s="292"/>
      <c r="E82" s="292"/>
      <c r="F82" s="292"/>
      <c r="G82" s="541"/>
      <c r="H82" s="292"/>
      <c r="I82"/>
    </row>
    <row r="83" spans="1:9" ht="24" x14ac:dyDescent="0.2">
      <c r="A83" s="292"/>
      <c r="B83" s="292"/>
      <c r="C83" s="292"/>
      <c r="D83" s="292"/>
      <c r="E83" s="292"/>
      <c r="F83" s="292"/>
      <c r="G83" s="541"/>
      <c r="H83" s="292"/>
      <c r="I83"/>
    </row>
    <row r="84" spans="1:9" ht="24" x14ac:dyDescent="0.2">
      <c r="A84" s="292"/>
      <c r="B84" s="292"/>
      <c r="C84" s="292"/>
      <c r="D84" s="292"/>
      <c r="E84" s="292"/>
      <c r="F84" s="292"/>
      <c r="G84" s="541"/>
      <c r="H84" s="292"/>
      <c r="I84"/>
    </row>
    <row r="85" spans="1:9" ht="24" x14ac:dyDescent="0.2">
      <c r="A85" s="292"/>
      <c r="B85" s="292"/>
      <c r="C85" s="292"/>
      <c r="D85" s="292"/>
      <c r="E85" s="292"/>
      <c r="F85" s="292"/>
      <c r="G85" s="541"/>
      <c r="H85" s="292"/>
      <c r="I85"/>
    </row>
    <row r="86" spans="1:9" ht="24" x14ac:dyDescent="0.2">
      <c r="A86" s="292"/>
      <c r="B86" s="292"/>
      <c r="C86" s="292"/>
      <c r="D86" s="292"/>
      <c r="E86" s="292"/>
      <c r="F86" s="292"/>
      <c r="G86" s="541"/>
      <c r="H86" s="292"/>
      <c r="I86"/>
    </row>
    <row r="87" spans="1:9" ht="24" x14ac:dyDescent="0.2">
      <c r="A87" s="292"/>
      <c r="B87" s="292"/>
      <c r="C87" s="292"/>
      <c r="D87" s="292"/>
      <c r="E87" s="292"/>
      <c r="F87" s="292"/>
      <c r="G87" s="541"/>
      <c r="H87" s="292"/>
      <c r="I87"/>
    </row>
    <row r="88" spans="1:9" ht="24" x14ac:dyDescent="0.2">
      <c r="A88" s="292"/>
      <c r="B88" s="292"/>
      <c r="C88" s="292"/>
      <c r="D88" s="292"/>
      <c r="E88" s="292"/>
      <c r="F88" s="292"/>
      <c r="G88" s="541"/>
      <c r="H88" s="292"/>
      <c r="I88"/>
    </row>
    <row r="89" spans="1:9" ht="24" x14ac:dyDescent="0.2">
      <c r="A89" s="292"/>
      <c r="B89" s="292"/>
      <c r="C89" s="292"/>
      <c r="D89" s="292"/>
      <c r="E89" s="292"/>
      <c r="F89" s="292"/>
      <c r="G89" s="541"/>
      <c r="H89" s="292"/>
      <c r="I89"/>
    </row>
    <row r="90" spans="1:9" ht="24" x14ac:dyDescent="0.2">
      <c r="A90" s="292"/>
      <c r="B90" s="292"/>
      <c r="C90" s="292"/>
      <c r="D90" s="292"/>
      <c r="E90" s="292"/>
      <c r="F90" s="292"/>
      <c r="G90" s="541"/>
      <c r="H90" s="292"/>
      <c r="I90"/>
    </row>
    <row r="91" spans="1:9" ht="24" x14ac:dyDescent="0.2">
      <c r="A91" s="292"/>
      <c r="B91" s="292"/>
      <c r="C91" s="292"/>
      <c r="D91" s="292"/>
      <c r="E91" s="292"/>
      <c r="F91" s="292"/>
      <c r="G91" s="541"/>
      <c r="H91" s="292"/>
      <c r="I91"/>
    </row>
    <row r="92" spans="1:9" ht="24" x14ac:dyDescent="0.2">
      <c r="A92" s="292"/>
      <c r="B92" s="292"/>
      <c r="C92" s="292"/>
      <c r="D92" s="292"/>
      <c r="E92" s="292"/>
      <c r="F92" s="292"/>
      <c r="G92" s="541"/>
      <c r="H92" s="292"/>
      <c r="I92"/>
    </row>
    <row r="93" spans="1:9" ht="24" x14ac:dyDescent="0.55000000000000004">
      <c r="A93" s="292" t="s">
        <v>662</v>
      </c>
      <c r="B93" s="293"/>
      <c r="C93" s="293"/>
      <c r="D93" s="294"/>
      <c r="E93" s="293"/>
      <c r="F93" s="295"/>
      <c r="G93" s="252"/>
      <c r="H93" s="60"/>
      <c r="I93"/>
    </row>
    <row r="94" spans="1:9" ht="24" x14ac:dyDescent="0.55000000000000004">
      <c r="A94" s="469" t="s">
        <v>419</v>
      </c>
      <c r="B94" s="470" t="s">
        <v>420</v>
      </c>
      <c r="C94" s="542" t="s">
        <v>421</v>
      </c>
      <c r="D94" s="542" t="s">
        <v>422</v>
      </c>
      <c r="E94" s="470" t="s">
        <v>423</v>
      </c>
      <c r="F94" s="470" t="s">
        <v>424</v>
      </c>
      <c r="G94" s="741" t="s">
        <v>15</v>
      </c>
      <c r="H94" s="741"/>
      <c r="I94"/>
    </row>
    <row r="95" spans="1:9" ht="24" x14ac:dyDescent="0.2">
      <c r="A95" s="163" t="s">
        <v>99</v>
      </c>
      <c r="B95" s="163" t="s">
        <v>425</v>
      </c>
      <c r="C95" s="543" t="s">
        <v>426</v>
      </c>
      <c r="D95" s="544" t="s">
        <v>7</v>
      </c>
      <c r="E95" s="255" t="s">
        <v>427</v>
      </c>
      <c r="F95" s="256" t="s">
        <v>428</v>
      </c>
      <c r="G95" s="253">
        <v>9000</v>
      </c>
      <c r="H95" s="163" t="s">
        <v>6</v>
      </c>
      <c r="I95"/>
    </row>
    <row r="96" spans="1:9" ht="24" x14ac:dyDescent="0.55000000000000004">
      <c r="A96" s="166"/>
      <c r="B96" s="37" t="s">
        <v>429</v>
      </c>
      <c r="C96" s="545"/>
      <c r="D96" s="546"/>
      <c r="E96" s="165" t="s">
        <v>430</v>
      </c>
      <c r="F96" s="164" t="s">
        <v>431</v>
      </c>
      <c r="G96" s="257"/>
      <c r="H96" s="166"/>
      <c r="I96"/>
    </row>
    <row r="97" spans="1:8" customFormat="1" ht="24" x14ac:dyDescent="0.2">
      <c r="A97" s="259"/>
      <c r="B97" s="259"/>
      <c r="C97" s="547"/>
      <c r="D97" s="548"/>
      <c r="E97" s="259"/>
      <c r="F97" s="262" t="s">
        <v>432</v>
      </c>
      <c r="G97" s="260"/>
      <c r="H97" s="259"/>
    </row>
    <row r="98" spans="1:8" customFormat="1" ht="24" x14ac:dyDescent="0.2">
      <c r="A98" s="166" t="s">
        <v>99</v>
      </c>
      <c r="B98" s="166" t="s">
        <v>425</v>
      </c>
      <c r="C98" s="545" t="s">
        <v>426</v>
      </c>
      <c r="D98" s="546" t="s">
        <v>7</v>
      </c>
      <c r="E98" s="165" t="s">
        <v>427</v>
      </c>
      <c r="F98" s="164" t="s">
        <v>428</v>
      </c>
      <c r="G98" s="257">
        <v>9000</v>
      </c>
      <c r="H98" s="166" t="s">
        <v>6</v>
      </c>
    </row>
    <row r="99" spans="1:8" customFormat="1" ht="24" x14ac:dyDescent="0.2">
      <c r="A99" s="166"/>
      <c r="B99" s="166" t="s">
        <v>429</v>
      </c>
      <c r="C99" s="545"/>
      <c r="D99" s="546"/>
      <c r="E99" s="165" t="s">
        <v>430</v>
      </c>
      <c r="F99" s="164" t="s">
        <v>431</v>
      </c>
      <c r="G99" s="257"/>
      <c r="H99" s="166"/>
    </row>
    <row r="100" spans="1:8" customFormat="1" ht="24" x14ac:dyDescent="0.2">
      <c r="A100" s="259"/>
      <c r="B100" s="259"/>
      <c r="C100" s="547"/>
      <c r="D100" s="548"/>
      <c r="E100" s="263"/>
      <c r="F100" s="262" t="s">
        <v>432</v>
      </c>
      <c r="G100" s="260"/>
      <c r="H100" s="259"/>
    </row>
    <row r="101" spans="1:8" customFormat="1" ht="24" x14ac:dyDescent="0.2">
      <c r="A101" s="166" t="s">
        <v>99</v>
      </c>
      <c r="B101" s="166" t="s">
        <v>433</v>
      </c>
      <c r="C101" s="549" t="s">
        <v>434</v>
      </c>
      <c r="D101" s="546" t="s">
        <v>7</v>
      </c>
      <c r="E101" s="165" t="s">
        <v>435</v>
      </c>
      <c r="F101" s="164" t="s">
        <v>436</v>
      </c>
      <c r="G101" s="257">
        <v>13000</v>
      </c>
      <c r="H101" s="166" t="s">
        <v>6</v>
      </c>
    </row>
    <row r="102" spans="1:8" customFormat="1" ht="24" x14ac:dyDescent="0.2">
      <c r="A102" s="166"/>
      <c r="B102" s="164"/>
      <c r="C102" s="549" t="s">
        <v>437</v>
      </c>
      <c r="D102" s="546"/>
      <c r="E102" s="165" t="s">
        <v>438</v>
      </c>
      <c r="F102" s="164" t="s">
        <v>439</v>
      </c>
      <c r="G102" s="257"/>
      <c r="H102" s="166"/>
    </row>
    <row r="103" spans="1:8" customFormat="1" ht="24" x14ac:dyDescent="0.2">
      <c r="A103" s="166"/>
      <c r="B103" s="164"/>
      <c r="C103" s="549" t="s">
        <v>440</v>
      </c>
      <c r="D103" s="546"/>
      <c r="E103" s="165" t="s">
        <v>441</v>
      </c>
      <c r="F103" s="164"/>
      <c r="G103" s="257"/>
      <c r="H103" s="166"/>
    </row>
    <row r="104" spans="1:8" customFormat="1" ht="24" x14ac:dyDescent="0.55000000000000004">
      <c r="A104" s="35"/>
      <c r="B104" s="35"/>
      <c r="C104" s="272"/>
      <c r="D104" s="265"/>
      <c r="E104" s="45" t="s">
        <v>442</v>
      </c>
      <c r="F104" s="35"/>
      <c r="G104" s="55"/>
      <c r="H104" s="37"/>
    </row>
    <row r="105" spans="1:8" customFormat="1" ht="24" x14ac:dyDescent="0.55000000000000004">
      <c r="A105" s="266"/>
      <c r="B105" s="266"/>
      <c r="C105" s="271"/>
      <c r="D105" s="268"/>
      <c r="E105" s="269" t="s">
        <v>443</v>
      </c>
      <c r="F105" s="266"/>
      <c r="G105" s="267"/>
      <c r="H105" s="268"/>
    </row>
    <row r="106" spans="1:8" customFormat="1" ht="24" x14ac:dyDescent="0.55000000000000004">
      <c r="A106" s="166" t="s">
        <v>99</v>
      </c>
      <c r="B106" s="166" t="s">
        <v>425</v>
      </c>
      <c r="C106" s="272" t="s">
        <v>444</v>
      </c>
      <c r="D106" s="37" t="s">
        <v>45</v>
      </c>
      <c r="E106" s="35" t="s">
        <v>45</v>
      </c>
      <c r="F106" s="35" t="s">
        <v>445</v>
      </c>
      <c r="G106" s="55">
        <v>138000</v>
      </c>
      <c r="H106" s="37" t="s">
        <v>6</v>
      </c>
    </row>
    <row r="107" spans="1:8" customFormat="1" ht="24" x14ac:dyDescent="0.55000000000000004">
      <c r="A107" s="270"/>
      <c r="B107" s="166" t="s">
        <v>429</v>
      </c>
      <c r="C107" s="272" t="s">
        <v>446</v>
      </c>
      <c r="D107" s="37"/>
      <c r="E107" s="35" t="s">
        <v>447</v>
      </c>
      <c r="F107" s="35" t="s">
        <v>448</v>
      </c>
      <c r="G107" s="55"/>
      <c r="H107" s="37"/>
    </row>
    <row r="108" spans="1:8" customFormat="1" ht="24" x14ac:dyDescent="0.55000000000000004">
      <c r="A108" s="271"/>
      <c r="B108" s="266"/>
      <c r="C108" s="271" t="s">
        <v>449</v>
      </c>
      <c r="D108" s="268"/>
      <c r="E108" s="266"/>
      <c r="F108" s="266"/>
      <c r="G108" s="267"/>
      <c r="H108" s="268"/>
    </row>
    <row r="109" spans="1:8" customFormat="1" ht="24" x14ac:dyDescent="0.55000000000000004">
      <c r="A109" s="166" t="s">
        <v>99</v>
      </c>
      <c r="B109" s="166" t="s">
        <v>425</v>
      </c>
      <c r="C109" s="272" t="s">
        <v>426</v>
      </c>
      <c r="D109" s="37" t="s">
        <v>8</v>
      </c>
      <c r="E109" s="35" t="s">
        <v>450</v>
      </c>
      <c r="F109" s="35" t="s">
        <v>451</v>
      </c>
      <c r="G109" s="55">
        <v>45054</v>
      </c>
      <c r="H109" s="199">
        <v>10</v>
      </c>
    </row>
    <row r="110" spans="1:8" customFormat="1" ht="24" x14ac:dyDescent="0.55000000000000004">
      <c r="A110" s="271"/>
      <c r="B110" s="259" t="s">
        <v>429</v>
      </c>
      <c r="C110" s="271"/>
      <c r="D110" s="268"/>
      <c r="E110" s="266" t="s">
        <v>452</v>
      </c>
      <c r="F110" s="266"/>
      <c r="G110" s="267"/>
      <c r="H110" s="268"/>
    </row>
    <row r="111" spans="1:8" customFormat="1" ht="24" x14ac:dyDescent="0.55000000000000004">
      <c r="A111" s="272" t="s">
        <v>99</v>
      </c>
      <c r="B111" s="37" t="s">
        <v>425</v>
      </c>
      <c r="C111" s="272" t="s">
        <v>426</v>
      </c>
      <c r="D111" s="37" t="s">
        <v>8</v>
      </c>
      <c r="E111" s="35" t="s">
        <v>453</v>
      </c>
      <c r="F111" s="35" t="s">
        <v>454</v>
      </c>
      <c r="G111" s="55">
        <v>600</v>
      </c>
      <c r="H111" s="37" t="s">
        <v>6</v>
      </c>
    </row>
    <row r="112" spans="1:8" customFormat="1" ht="24" x14ac:dyDescent="0.55000000000000004">
      <c r="A112" s="269"/>
      <c r="B112" s="268" t="s">
        <v>429</v>
      </c>
      <c r="C112" s="271"/>
      <c r="D112" s="268"/>
      <c r="E112" s="266"/>
      <c r="F112" s="266" t="s">
        <v>439</v>
      </c>
      <c r="G112" s="267"/>
      <c r="H112" s="268"/>
    </row>
    <row r="113" spans="1:9" ht="27.75" customHeight="1" x14ac:dyDescent="0.55000000000000004">
      <c r="A113" s="35" t="s">
        <v>99</v>
      </c>
      <c r="B113" s="37" t="s">
        <v>425</v>
      </c>
      <c r="C113" s="35" t="s">
        <v>426</v>
      </c>
      <c r="D113" s="37" t="s">
        <v>10</v>
      </c>
      <c r="E113" s="35" t="s">
        <v>45</v>
      </c>
      <c r="F113" s="35" t="s">
        <v>455</v>
      </c>
      <c r="G113" s="55">
        <v>46700</v>
      </c>
      <c r="H113" s="37" t="s">
        <v>6</v>
      </c>
    </row>
    <row r="114" spans="1:9" ht="27.75" customHeight="1" x14ac:dyDescent="0.55000000000000004">
      <c r="A114" s="266"/>
      <c r="B114" s="268" t="s">
        <v>429</v>
      </c>
      <c r="C114" s="266"/>
      <c r="D114" s="273"/>
      <c r="E114" s="266" t="s">
        <v>456</v>
      </c>
      <c r="F114" s="266"/>
      <c r="G114" s="267"/>
      <c r="H114" s="268"/>
    </row>
    <row r="115" spans="1:9" ht="27.75" customHeight="1" x14ac:dyDescent="0.55000000000000004">
      <c r="A115" s="274" t="s">
        <v>99</v>
      </c>
      <c r="B115" s="286" t="s">
        <v>425</v>
      </c>
      <c r="C115" s="274" t="s">
        <v>426</v>
      </c>
      <c r="D115" s="275" t="s">
        <v>7</v>
      </c>
      <c r="E115" s="165" t="s">
        <v>427</v>
      </c>
      <c r="F115" s="53" t="s">
        <v>457</v>
      </c>
      <c r="G115" s="55">
        <v>40600</v>
      </c>
      <c r="H115" s="37" t="s">
        <v>6</v>
      </c>
    </row>
    <row r="116" spans="1:9" ht="27.75" customHeight="1" x14ac:dyDescent="0.55000000000000004">
      <c r="A116" s="35"/>
      <c r="B116" s="37" t="s">
        <v>429</v>
      </c>
      <c r="C116" s="35"/>
      <c r="D116" s="275"/>
      <c r="E116" s="165" t="s">
        <v>430</v>
      </c>
      <c r="F116" s="213" t="s">
        <v>458</v>
      </c>
      <c r="G116" s="55"/>
      <c r="H116" s="37"/>
    </row>
    <row r="117" spans="1:9" ht="27.75" customHeight="1" x14ac:dyDescent="0.55000000000000004">
      <c r="A117" s="35"/>
      <c r="B117" s="37"/>
      <c r="C117" s="35"/>
      <c r="D117" s="275"/>
      <c r="E117" s="45"/>
      <c r="F117" s="53" t="s">
        <v>459</v>
      </c>
      <c r="G117" s="55"/>
      <c r="H117" s="37"/>
    </row>
    <row r="118" spans="1:9" ht="27.75" customHeight="1" x14ac:dyDescent="0.55000000000000004">
      <c r="A118" s="36"/>
      <c r="B118" s="38"/>
      <c r="C118" s="36"/>
      <c r="D118" s="276"/>
      <c r="E118" s="36"/>
      <c r="F118" s="235" t="s">
        <v>460</v>
      </c>
      <c r="G118" s="306"/>
      <c r="H118" s="38"/>
    </row>
    <row r="119" spans="1:9" ht="27.75" customHeight="1" x14ac:dyDescent="0.45">
      <c r="A119" s="163" t="s">
        <v>99</v>
      </c>
      <c r="B119" s="163" t="s">
        <v>425</v>
      </c>
      <c r="C119" s="543" t="s">
        <v>461</v>
      </c>
      <c r="D119" s="544" t="s">
        <v>7</v>
      </c>
      <c r="E119" s="255" t="s">
        <v>427</v>
      </c>
      <c r="F119" s="256" t="s">
        <v>462</v>
      </c>
      <c r="G119" s="253">
        <v>7000</v>
      </c>
      <c r="H119" s="163" t="s">
        <v>6</v>
      </c>
    </row>
    <row r="120" spans="1:9" ht="27.75" customHeight="1" x14ac:dyDescent="0.55000000000000004">
      <c r="A120" s="166"/>
      <c r="B120" s="37" t="s">
        <v>429</v>
      </c>
      <c r="C120" s="545"/>
      <c r="D120" s="546"/>
      <c r="E120" s="165" t="s">
        <v>430</v>
      </c>
      <c r="F120" s="164" t="s">
        <v>463</v>
      </c>
      <c r="G120" s="257"/>
      <c r="H120" s="277"/>
    </row>
    <row r="121" spans="1:9" ht="27.75" customHeight="1" x14ac:dyDescent="0.45">
      <c r="A121" s="225"/>
      <c r="B121" s="225"/>
      <c r="C121" s="550"/>
      <c r="D121" s="551"/>
      <c r="E121" s="291"/>
      <c r="F121" s="552" t="s">
        <v>464</v>
      </c>
      <c r="G121" s="553"/>
      <c r="H121" s="554"/>
    </row>
    <row r="122" spans="1:9" s="152" customFormat="1" ht="27.75" customHeight="1" x14ac:dyDescent="0.55000000000000004">
      <c r="A122" s="60"/>
      <c r="B122" s="60"/>
      <c r="C122" s="60"/>
      <c r="D122" s="39"/>
      <c r="E122" s="60"/>
      <c r="F122" s="60"/>
      <c r="G122" s="252"/>
      <c r="H122" s="39"/>
      <c r="I122" s="504"/>
    </row>
    <row r="123" spans="1:9" ht="27.75" customHeight="1" x14ac:dyDescent="0.65">
      <c r="A123" s="780" t="s">
        <v>503</v>
      </c>
      <c r="B123" s="780"/>
      <c r="C123" s="780"/>
      <c r="D123" s="780"/>
      <c r="E123" s="780"/>
      <c r="G123" s="782" t="s">
        <v>236</v>
      </c>
      <c r="H123" s="782"/>
    </row>
    <row r="124" spans="1:9" ht="27.75" customHeight="1" x14ac:dyDescent="0.55000000000000004">
      <c r="A124" s="469" t="s">
        <v>419</v>
      </c>
      <c r="B124" s="470" t="s">
        <v>420</v>
      </c>
      <c r="C124" s="542" t="s">
        <v>421</v>
      </c>
      <c r="D124" s="542" t="s">
        <v>422</v>
      </c>
      <c r="E124" s="470" t="s">
        <v>423</v>
      </c>
      <c r="F124" s="470" t="s">
        <v>424</v>
      </c>
      <c r="G124" s="741" t="s">
        <v>15</v>
      </c>
      <c r="H124" s="741"/>
    </row>
    <row r="125" spans="1:9" ht="24.95" customHeight="1" x14ac:dyDescent="0.55000000000000004">
      <c r="A125" s="35" t="s">
        <v>99</v>
      </c>
      <c r="B125" s="37" t="s">
        <v>425</v>
      </c>
      <c r="C125" s="555" t="s">
        <v>461</v>
      </c>
      <c r="D125" s="37" t="s">
        <v>10</v>
      </c>
      <c r="E125" s="45" t="s">
        <v>45</v>
      </c>
      <c r="F125" s="35" t="s">
        <v>455</v>
      </c>
      <c r="G125" s="55">
        <v>53800</v>
      </c>
      <c r="H125" s="37" t="s">
        <v>6</v>
      </c>
    </row>
    <row r="126" spans="1:9" ht="24.95" customHeight="1" x14ac:dyDescent="0.55000000000000004">
      <c r="A126" s="266"/>
      <c r="B126" s="268" t="s">
        <v>429</v>
      </c>
      <c r="C126" s="266"/>
      <c r="D126" s="273"/>
      <c r="E126" s="269" t="s">
        <v>456</v>
      </c>
      <c r="F126" s="266"/>
      <c r="G126" s="267"/>
      <c r="H126" s="266"/>
    </row>
    <row r="127" spans="1:9" ht="24.95" customHeight="1" x14ac:dyDescent="0.45">
      <c r="A127" s="279" t="s">
        <v>99</v>
      </c>
      <c r="B127" s="279" t="s">
        <v>465</v>
      </c>
      <c r="C127" s="555" t="s">
        <v>466</v>
      </c>
      <c r="D127" s="556" t="s">
        <v>7</v>
      </c>
      <c r="E127" s="281" t="s">
        <v>427</v>
      </c>
      <c r="F127" s="516" t="s">
        <v>467</v>
      </c>
      <c r="G127" s="517">
        <v>7000</v>
      </c>
      <c r="H127" s="166" t="s">
        <v>6</v>
      </c>
    </row>
    <row r="128" spans="1:9" ht="24.95" customHeight="1" x14ac:dyDescent="0.2">
      <c r="A128" s="166"/>
      <c r="B128" s="166" t="s">
        <v>468</v>
      </c>
      <c r="C128" s="549" t="s">
        <v>469</v>
      </c>
      <c r="D128" s="546"/>
      <c r="E128" s="165" t="s">
        <v>430</v>
      </c>
      <c r="F128" s="164" t="s">
        <v>470</v>
      </c>
      <c r="G128" s="517"/>
      <c r="H128" s="164"/>
      <c r="I128"/>
    </row>
    <row r="129" spans="1:9" ht="24.95" customHeight="1" x14ac:dyDescent="0.2">
      <c r="A129" s="259"/>
      <c r="B129" s="262"/>
      <c r="C129" s="557" t="s">
        <v>471</v>
      </c>
      <c r="D129" s="548"/>
      <c r="E129" s="263"/>
      <c r="F129" s="262"/>
      <c r="G129" s="534"/>
      <c r="H129" s="262"/>
      <c r="I129"/>
    </row>
    <row r="130" spans="1:9" ht="24.95" customHeight="1" x14ac:dyDescent="0.2">
      <c r="A130" s="279" t="s">
        <v>99</v>
      </c>
      <c r="B130" s="279" t="s">
        <v>465</v>
      </c>
      <c r="C130" s="555" t="s">
        <v>466</v>
      </c>
      <c r="D130" s="556" t="s">
        <v>7</v>
      </c>
      <c r="E130" s="281" t="s">
        <v>427</v>
      </c>
      <c r="F130" s="516" t="s">
        <v>467</v>
      </c>
      <c r="G130" s="517">
        <v>7000</v>
      </c>
      <c r="H130" s="166" t="s">
        <v>6</v>
      </c>
      <c r="I130"/>
    </row>
    <row r="131" spans="1:9" ht="24.95" customHeight="1" x14ac:dyDescent="0.2">
      <c r="A131" s="166"/>
      <c r="B131" s="166" t="s">
        <v>468</v>
      </c>
      <c r="C131" s="549" t="s">
        <v>469</v>
      </c>
      <c r="D131" s="546"/>
      <c r="E131" s="165" t="s">
        <v>430</v>
      </c>
      <c r="F131" s="164" t="s">
        <v>470</v>
      </c>
      <c r="G131" s="517"/>
      <c r="H131" s="164"/>
      <c r="I131"/>
    </row>
    <row r="132" spans="1:9" ht="24.95" customHeight="1" x14ac:dyDescent="0.2">
      <c r="A132" s="259"/>
      <c r="B132" s="262"/>
      <c r="C132" s="557" t="s">
        <v>471</v>
      </c>
      <c r="D132" s="548"/>
      <c r="E132" s="263"/>
      <c r="F132" s="262"/>
      <c r="G132" s="534"/>
      <c r="H132" s="262"/>
      <c r="I132"/>
    </row>
    <row r="133" spans="1:9" ht="24.95" customHeight="1" x14ac:dyDescent="0.55000000000000004">
      <c r="A133" s="279" t="s">
        <v>99</v>
      </c>
      <c r="B133" s="279" t="s">
        <v>465</v>
      </c>
      <c r="C133" s="272" t="s">
        <v>472</v>
      </c>
      <c r="D133" s="37" t="s">
        <v>8</v>
      </c>
      <c r="E133" s="45" t="s">
        <v>450</v>
      </c>
      <c r="F133" s="53" t="s">
        <v>451</v>
      </c>
      <c r="G133" s="55">
        <v>20000</v>
      </c>
      <c r="H133" s="166" t="s">
        <v>6</v>
      </c>
      <c r="I133"/>
    </row>
    <row r="134" spans="1:9" ht="24.95" customHeight="1" x14ac:dyDescent="0.55000000000000004">
      <c r="A134" s="166"/>
      <c r="B134" s="166" t="s">
        <v>468</v>
      </c>
      <c r="C134" s="272" t="s">
        <v>473</v>
      </c>
      <c r="D134" s="37"/>
      <c r="E134" s="45" t="s">
        <v>452</v>
      </c>
      <c r="F134" s="35" t="s">
        <v>439</v>
      </c>
      <c r="G134" s="55"/>
      <c r="H134" s="37"/>
      <c r="I134"/>
    </row>
    <row r="135" spans="1:9" ht="24.95" customHeight="1" x14ac:dyDescent="0.55000000000000004">
      <c r="A135" s="271"/>
      <c r="B135" s="266"/>
      <c r="C135" s="272" t="s">
        <v>474</v>
      </c>
      <c r="D135" s="268"/>
      <c r="E135" s="269"/>
      <c r="F135" s="266"/>
      <c r="G135" s="267"/>
      <c r="H135" s="268"/>
      <c r="I135"/>
    </row>
    <row r="136" spans="1:9" ht="24.95" customHeight="1" x14ac:dyDescent="0.55000000000000004">
      <c r="A136" s="279" t="s">
        <v>99</v>
      </c>
      <c r="B136" s="279" t="s">
        <v>465</v>
      </c>
      <c r="C136" s="558" t="s">
        <v>472</v>
      </c>
      <c r="D136" s="37" t="s">
        <v>7</v>
      </c>
      <c r="E136" s="281" t="s">
        <v>427</v>
      </c>
      <c r="F136" s="35" t="s">
        <v>475</v>
      </c>
      <c r="G136" s="517">
        <v>7000</v>
      </c>
      <c r="H136" s="166" t="s">
        <v>6</v>
      </c>
      <c r="I136"/>
    </row>
    <row r="137" spans="1:9" ht="24.95" customHeight="1" x14ac:dyDescent="0.55000000000000004">
      <c r="A137" s="166"/>
      <c r="B137" s="166" t="s">
        <v>468</v>
      </c>
      <c r="C137" s="272" t="s">
        <v>473</v>
      </c>
      <c r="D137" s="37"/>
      <c r="E137" s="165" t="s">
        <v>430</v>
      </c>
      <c r="F137" s="35" t="s">
        <v>476</v>
      </c>
      <c r="G137" s="55"/>
      <c r="H137" s="37"/>
      <c r="I137"/>
    </row>
    <row r="138" spans="1:9" ht="24.95" customHeight="1" x14ac:dyDescent="0.55000000000000004">
      <c r="A138" s="272"/>
      <c r="B138" s="35"/>
      <c r="C138" s="272" t="s">
        <v>474</v>
      </c>
      <c r="D138" s="37"/>
      <c r="E138" s="45"/>
      <c r="F138" s="266" t="s">
        <v>477</v>
      </c>
      <c r="G138" s="267"/>
      <c r="H138" s="275"/>
      <c r="I138"/>
    </row>
    <row r="139" spans="1:9" ht="24.95" customHeight="1" x14ac:dyDescent="0.55000000000000004">
      <c r="A139" s="279" t="s">
        <v>99</v>
      </c>
      <c r="B139" s="279" t="s">
        <v>465</v>
      </c>
      <c r="C139" s="555" t="s">
        <v>466</v>
      </c>
      <c r="D139" s="286" t="s">
        <v>7</v>
      </c>
      <c r="E139" s="281" t="s">
        <v>427</v>
      </c>
      <c r="F139" s="35" t="s">
        <v>478</v>
      </c>
      <c r="G139" s="278">
        <v>7000</v>
      </c>
      <c r="H139" s="279" t="s">
        <v>6</v>
      </c>
      <c r="I139"/>
    </row>
    <row r="140" spans="1:9" ht="24.95" customHeight="1" x14ac:dyDescent="0.55000000000000004">
      <c r="A140" s="166"/>
      <c r="B140" s="166" t="s">
        <v>468</v>
      </c>
      <c r="C140" s="549" t="s">
        <v>469</v>
      </c>
      <c r="D140" s="37"/>
      <c r="E140" s="165" t="s">
        <v>430</v>
      </c>
      <c r="F140" s="35" t="s">
        <v>479</v>
      </c>
      <c r="G140" s="55"/>
      <c r="H140" s="35"/>
      <c r="I140"/>
    </row>
    <row r="141" spans="1:9" ht="24.95" customHeight="1" x14ac:dyDescent="0.55000000000000004">
      <c r="A141" s="271"/>
      <c r="B141" s="266"/>
      <c r="C141" s="557" t="s">
        <v>471</v>
      </c>
      <c r="D141" s="268"/>
      <c r="E141" s="269"/>
      <c r="F141" s="266" t="s">
        <v>439</v>
      </c>
      <c r="G141" s="267"/>
      <c r="H141" s="266"/>
      <c r="I141"/>
    </row>
    <row r="142" spans="1:9" ht="24.95" customHeight="1" x14ac:dyDescent="0.55000000000000004">
      <c r="A142" s="279" t="s">
        <v>99</v>
      </c>
      <c r="B142" s="279" t="s">
        <v>465</v>
      </c>
      <c r="C142" s="272" t="s">
        <v>472</v>
      </c>
      <c r="D142" s="37" t="s">
        <v>7</v>
      </c>
      <c r="E142" s="281" t="s">
        <v>427</v>
      </c>
      <c r="F142" s="53" t="s">
        <v>480</v>
      </c>
      <c r="G142" s="517">
        <v>70200</v>
      </c>
      <c r="H142" s="166" t="s">
        <v>6</v>
      </c>
      <c r="I142"/>
    </row>
    <row r="143" spans="1:9" ht="24.95" customHeight="1" x14ac:dyDescent="0.55000000000000004">
      <c r="A143" s="166"/>
      <c r="B143" s="166" t="s">
        <v>468</v>
      </c>
      <c r="C143" s="272" t="s">
        <v>473</v>
      </c>
      <c r="D143" s="37"/>
      <c r="E143" s="165" t="s">
        <v>430</v>
      </c>
      <c r="F143" s="35" t="s">
        <v>476</v>
      </c>
      <c r="G143" s="55"/>
      <c r="H143" s="37"/>
      <c r="I143"/>
    </row>
    <row r="144" spans="1:9" ht="24.95" customHeight="1" x14ac:dyDescent="0.55000000000000004">
      <c r="A144" s="272"/>
      <c r="B144" s="35"/>
      <c r="C144" s="271" t="s">
        <v>474</v>
      </c>
      <c r="D144" s="37"/>
      <c r="E144" s="45"/>
      <c r="F144" s="266" t="s">
        <v>477</v>
      </c>
      <c r="G144" s="267"/>
      <c r="H144" s="287"/>
    </row>
    <row r="145" spans="1:9" ht="24.95" customHeight="1" x14ac:dyDescent="0.55000000000000004">
      <c r="A145" s="279" t="s">
        <v>99</v>
      </c>
      <c r="B145" s="279" t="s">
        <v>465</v>
      </c>
      <c r="C145" s="272" t="s">
        <v>472</v>
      </c>
      <c r="D145" s="556" t="s">
        <v>7</v>
      </c>
      <c r="E145" s="281" t="s">
        <v>427</v>
      </c>
      <c r="F145" s="282" t="s">
        <v>481</v>
      </c>
      <c r="G145" s="517">
        <v>80000</v>
      </c>
      <c r="H145" s="166" t="s">
        <v>6</v>
      </c>
    </row>
    <row r="146" spans="1:9" ht="24.95" customHeight="1" x14ac:dyDescent="0.55000000000000004">
      <c r="A146" s="166"/>
      <c r="B146" s="166" t="s">
        <v>468</v>
      </c>
      <c r="C146" s="272" t="s">
        <v>473</v>
      </c>
      <c r="D146" s="546"/>
      <c r="E146" s="165" t="s">
        <v>430</v>
      </c>
      <c r="F146" s="164" t="s">
        <v>482</v>
      </c>
      <c r="G146" s="517"/>
      <c r="H146" s="164"/>
    </row>
    <row r="147" spans="1:9" ht="24.95" customHeight="1" x14ac:dyDescent="0.55000000000000004">
      <c r="A147" s="259"/>
      <c r="B147" s="262"/>
      <c r="C147" s="271" t="s">
        <v>474</v>
      </c>
      <c r="D147" s="548"/>
      <c r="E147" s="263"/>
      <c r="F147" s="262" t="s">
        <v>483</v>
      </c>
      <c r="G147" s="534"/>
      <c r="H147" s="262"/>
    </row>
    <row r="148" spans="1:9" ht="24.95" customHeight="1" x14ac:dyDescent="0.45">
      <c r="A148" s="166" t="s">
        <v>99</v>
      </c>
      <c r="B148" s="166" t="s">
        <v>465</v>
      </c>
      <c r="C148" s="545" t="s">
        <v>466</v>
      </c>
      <c r="D148" s="546" t="s">
        <v>10</v>
      </c>
      <c r="E148" s="165" t="s">
        <v>45</v>
      </c>
      <c r="F148" s="164" t="s">
        <v>484</v>
      </c>
      <c r="G148" s="517">
        <v>48000</v>
      </c>
      <c r="H148" s="166" t="s">
        <v>6</v>
      </c>
    </row>
    <row r="149" spans="1:9" ht="24.95" customHeight="1" x14ac:dyDescent="0.45">
      <c r="A149" s="166"/>
      <c r="B149" s="166" t="s">
        <v>468</v>
      </c>
      <c r="C149" s="549" t="s">
        <v>469</v>
      </c>
      <c r="D149" s="546"/>
      <c r="E149" s="165" t="s">
        <v>456</v>
      </c>
      <c r="F149" s="164"/>
      <c r="G149" s="517"/>
      <c r="H149" s="166"/>
    </row>
    <row r="150" spans="1:9" ht="24.95" customHeight="1" x14ac:dyDescent="0.45">
      <c r="A150" s="166"/>
      <c r="B150" s="164"/>
      <c r="C150" s="549" t="s">
        <v>471</v>
      </c>
      <c r="D150" s="546"/>
      <c r="E150" s="165"/>
      <c r="F150" s="164"/>
      <c r="G150" s="517"/>
      <c r="H150" s="166"/>
    </row>
    <row r="151" spans="1:9" ht="24.95" customHeight="1" x14ac:dyDescent="0.45">
      <c r="A151" s="744" t="s">
        <v>14</v>
      </c>
      <c r="B151" s="752"/>
      <c r="C151" s="752"/>
      <c r="D151" s="752"/>
      <c r="E151" s="752"/>
      <c r="F151" s="745"/>
      <c r="G151" s="559">
        <f>SUM(G95:G148)</f>
        <v>608954</v>
      </c>
      <c r="H151" s="560">
        <v>10</v>
      </c>
    </row>
    <row r="152" spans="1:9" s="152" customFormat="1" ht="27.75" customHeight="1" x14ac:dyDescent="0.45">
      <c r="A152" s="292"/>
      <c r="B152" s="292"/>
      <c r="C152" s="292"/>
      <c r="D152" s="292"/>
      <c r="E152" s="292"/>
      <c r="F152" s="292"/>
      <c r="G152" s="541"/>
      <c r="H152" s="561"/>
      <c r="I152" s="504"/>
    </row>
    <row r="153" spans="1:9" ht="27.75" customHeight="1" x14ac:dyDescent="0.65">
      <c r="A153" s="780" t="s">
        <v>503</v>
      </c>
      <c r="B153" s="780"/>
      <c r="C153" s="780"/>
      <c r="D153" s="780"/>
      <c r="E153" s="780"/>
      <c r="G153" s="782" t="s">
        <v>247</v>
      </c>
      <c r="H153" s="782"/>
    </row>
    <row r="154" spans="1:9" ht="27.75" customHeight="1" x14ac:dyDescent="0.55000000000000004">
      <c r="A154" s="469" t="s">
        <v>419</v>
      </c>
      <c r="B154" s="470" t="s">
        <v>420</v>
      </c>
      <c r="C154" s="542" t="s">
        <v>421</v>
      </c>
      <c r="D154" s="542" t="s">
        <v>422</v>
      </c>
      <c r="E154" s="470" t="s">
        <v>423</v>
      </c>
      <c r="F154" s="470" t="s">
        <v>424</v>
      </c>
      <c r="G154" s="741" t="s">
        <v>15</v>
      </c>
      <c r="H154" s="741"/>
    </row>
    <row r="155" spans="1:9" ht="27.75" customHeight="1" x14ac:dyDescent="0.45">
      <c r="A155" s="279" t="s">
        <v>9</v>
      </c>
      <c r="B155" s="279" t="s">
        <v>465</v>
      </c>
      <c r="C155" s="279" t="s">
        <v>485</v>
      </c>
      <c r="D155" s="556" t="s">
        <v>486</v>
      </c>
      <c r="E155" s="279" t="s">
        <v>487</v>
      </c>
      <c r="F155" s="282" t="s">
        <v>488</v>
      </c>
      <c r="G155" s="517">
        <v>498000</v>
      </c>
      <c r="H155" s="166" t="s">
        <v>6</v>
      </c>
    </row>
    <row r="156" spans="1:9" ht="27.75" customHeight="1" x14ac:dyDescent="0.45">
      <c r="A156" s="166" t="s">
        <v>489</v>
      </c>
      <c r="B156" s="166" t="s">
        <v>468</v>
      </c>
      <c r="C156" s="166"/>
      <c r="D156" s="546" t="s">
        <v>490</v>
      </c>
      <c r="E156" s="166" t="s">
        <v>491</v>
      </c>
      <c r="F156" s="164" t="s">
        <v>492</v>
      </c>
      <c r="G156" s="517"/>
      <c r="H156" s="166"/>
    </row>
    <row r="157" spans="1:9" ht="27.75" customHeight="1" x14ac:dyDescent="0.45">
      <c r="A157" s="259"/>
      <c r="B157" s="262"/>
      <c r="C157" s="557"/>
      <c r="D157" s="548" t="s">
        <v>493</v>
      </c>
      <c r="E157" s="263"/>
      <c r="F157" s="262" t="s">
        <v>494</v>
      </c>
      <c r="G157" s="534"/>
      <c r="H157" s="259"/>
    </row>
    <row r="158" spans="1:9" ht="27.75" customHeight="1" x14ac:dyDescent="0.45">
      <c r="A158" s="279" t="s">
        <v>9</v>
      </c>
      <c r="B158" s="279" t="s">
        <v>465</v>
      </c>
      <c r="C158" s="279" t="s">
        <v>485</v>
      </c>
      <c r="D158" s="556" t="s">
        <v>486</v>
      </c>
      <c r="E158" s="279" t="s">
        <v>487</v>
      </c>
      <c r="F158" s="282" t="s">
        <v>495</v>
      </c>
      <c r="G158" s="517">
        <v>158000</v>
      </c>
      <c r="H158" s="166" t="s">
        <v>6</v>
      </c>
    </row>
    <row r="159" spans="1:9" ht="27.75" customHeight="1" x14ac:dyDescent="0.2">
      <c r="A159" s="166" t="s">
        <v>489</v>
      </c>
      <c r="B159" s="166" t="s">
        <v>468</v>
      </c>
      <c r="C159" s="166"/>
      <c r="D159" s="546" t="s">
        <v>490</v>
      </c>
      <c r="E159" s="166" t="s">
        <v>491</v>
      </c>
      <c r="F159" s="164" t="s">
        <v>496</v>
      </c>
      <c r="G159" s="517"/>
      <c r="H159" s="166"/>
      <c r="I159"/>
    </row>
    <row r="160" spans="1:9" ht="27.75" customHeight="1" x14ac:dyDescent="0.2">
      <c r="A160" s="259"/>
      <c r="B160" s="262"/>
      <c r="C160" s="557"/>
      <c r="D160" s="548" t="s">
        <v>493</v>
      </c>
      <c r="E160" s="263"/>
      <c r="F160" s="262"/>
      <c r="G160" s="534"/>
      <c r="H160" s="259"/>
      <c r="I160"/>
    </row>
    <row r="161" spans="1:9" ht="27.75" customHeight="1" x14ac:dyDescent="0.2">
      <c r="A161" s="279" t="s">
        <v>9</v>
      </c>
      <c r="B161" s="279" t="s">
        <v>465</v>
      </c>
      <c r="C161" s="279" t="s">
        <v>485</v>
      </c>
      <c r="D161" s="556" t="s">
        <v>486</v>
      </c>
      <c r="E161" s="279" t="s">
        <v>487</v>
      </c>
      <c r="F161" s="282" t="s">
        <v>488</v>
      </c>
      <c r="G161" s="517">
        <v>1495000</v>
      </c>
      <c r="H161" s="166" t="s">
        <v>6</v>
      </c>
      <c r="I161"/>
    </row>
    <row r="162" spans="1:9" ht="27.75" customHeight="1" x14ac:dyDescent="0.2">
      <c r="A162" s="166" t="s">
        <v>489</v>
      </c>
      <c r="B162" s="166" t="s">
        <v>468</v>
      </c>
      <c r="C162" s="166"/>
      <c r="D162" s="546" t="s">
        <v>490</v>
      </c>
      <c r="E162" s="166" t="s">
        <v>491</v>
      </c>
      <c r="F162" s="164" t="s">
        <v>497</v>
      </c>
      <c r="G162" s="517"/>
      <c r="H162" s="164"/>
      <c r="I162"/>
    </row>
    <row r="163" spans="1:9" ht="27.75" customHeight="1" x14ac:dyDescent="0.2">
      <c r="A163" s="225"/>
      <c r="B163" s="288"/>
      <c r="C163" s="562"/>
      <c r="D163" s="551" t="s">
        <v>493</v>
      </c>
      <c r="E163" s="291"/>
      <c r="F163" s="288" t="s">
        <v>498</v>
      </c>
      <c r="G163" s="537"/>
      <c r="H163" s="288"/>
      <c r="I163"/>
    </row>
    <row r="164" spans="1:9" ht="27.75" customHeight="1" x14ac:dyDescent="0.2">
      <c r="A164" s="778" t="s">
        <v>14</v>
      </c>
      <c r="B164" s="779"/>
      <c r="C164" s="779"/>
      <c r="D164" s="779"/>
      <c r="E164" s="779"/>
      <c r="F164" s="779"/>
      <c r="G164" s="538">
        <f>SUM(G155:G161)</f>
        <v>2151000</v>
      </c>
      <c r="H164" s="469" t="s">
        <v>6</v>
      </c>
      <c r="I164"/>
    </row>
    <row r="165" spans="1:9" ht="27.75" customHeight="1" x14ac:dyDescent="0.2">
      <c r="A165" s="292"/>
      <c r="B165" s="292"/>
      <c r="C165" s="292"/>
      <c r="D165" s="292"/>
      <c r="E165" s="292"/>
      <c r="F165" s="292"/>
      <c r="G165" s="541"/>
      <c r="H165" s="292"/>
      <c r="I165"/>
    </row>
    <row r="166" spans="1:9" ht="27.75" customHeight="1" x14ac:dyDescent="0.65">
      <c r="A166" s="780" t="s">
        <v>503</v>
      </c>
      <c r="B166" s="780"/>
      <c r="C166" s="780"/>
      <c r="D166" s="780"/>
      <c r="E166" s="780"/>
      <c r="I166"/>
    </row>
    <row r="167" spans="1:9" ht="27.75" customHeight="1" x14ac:dyDescent="0.55000000000000004">
      <c r="A167" s="469" t="s">
        <v>419</v>
      </c>
      <c r="B167" s="470" t="s">
        <v>420</v>
      </c>
      <c r="C167" s="542" t="s">
        <v>421</v>
      </c>
      <c r="D167" s="542" t="s">
        <v>422</v>
      </c>
      <c r="E167" s="470" t="s">
        <v>423</v>
      </c>
      <c r="F167" s="470" t="s">
        <v>424</v>
      </c>
      <c r="G167" s="741" t="s">
        <v>15</v>
      </c>
      <c r="H167" s="741"/>
      <c r="I167"/>
    </row>
    <row r="168" spans="1:9" ht="27.75" customHeight="1" x14ac:dyDescent="0.2">
      <c r="A168" s="279" t="s">
        <v>499</v>
      </c>
      <c r="B168" s="279" t="s">
        <v>465</v>
      </c>
      <c r="C168" s="279" t="s">
        <v>485</v>
      </c>
      <c r="D168" s="556" t="s">
        <v>486</v>
      </c>
      <c r="E168" s="279" t="s">
        <v>487</v>
      </c>
      <c r="F168" s="516" t="s">
        <v>500</v>
      </c>
      <c r="G168" s="517">
        <v>149500</v>
      </c>
      <c r="H168" s="166" t="s">
        <v>6</v>
      </c>
      <c r="I168"/>
    </row>
    <row r="169" spans="1:9" ht="27.75" customHeight="1" x14ac:dyDescent="0.2">
      <c r="A169" s="166" t="s">
        <v>501</v>
      </c>
      <c r="B169" s="166" t="s">
        <v>468</v>
      </c>
      <c r="C169" s="166"/>
      <c r="D169" s="546" t="s">
        <v>490</v>
      </c>
      <c r="E169" s="166" t="s">
        <v>491</v>
      </c>
      <c r="F169" s="164" t="s">
        <v>502</v>
      </c>
      <c r="G169" s="517"/>
      <c r="H169" s="166"/>
      <c r="I169"/>
    </row>
    <row r="170" spans="1:9" ht="27.75" customHeight="1" x14ac:dyDescent="0.2">
      <c r="A170" s="259" t="s">
        <v>11</v>
      </c>
      <c r="B170" s="262"/>
      <c r="C170" s="557"/>
      <c r="D170" s="548" t="s">
        <v>493</v>
      </c>
      <c r="E170" s="263"/>
      <c r="F170" s="262"/>
      <c r="G170" s="534"/>
      <c r="H170" s="259"/>
      <c r="I170"/>
    </row>
    <row r="171" spans="1:9" ht="27.75" customHeight="1" x14ac:dyDescent="0.2">
      <c r="A171" s="279" t="s">
        <v>499</v>
      </c>
      <c r="B171" s="279" t="s">
        <v>465</v>
      </c>
      <c r="C171" s="279" t="s">
        <v>485</v>
      </c>
      <c r="D171" s="556" t="s">
        <v>486</v>
      </c>
      <c r="E171" s="279" t="s">
        <v>487</v>
      </c>
      <c r="F171" s="282" t="s">
        <v>488</v>
      </c>
      <c r="G171" s="278">
        <v>499000</v>
      </c>
      <c r="H171" s="166" t="s">
        <v>6</v>
      </c>
      <c r="I171"/>
    </row>
    <row r="172" spans="1:9" ht="27.75" customHeight="1" x14ac:dyDescent="0.55000000000000004">
      <c r="A172" s="166" t="s">
        <v>501</v>
      </c>
      <c r="B172" s="166" t="s">
        <v>468</v>
      </c>
      <c r="C172" s="166"/>
      <c r="D172" s="546" t="s">
        <v>490</v>
      </c>
      <c r="E172" s="166" t="s">
        <v>491</v>
      </c>
      <c r="F172" s="164" t="s">
        <v>502</v>
      </c>
      <c r="G172" s="55"/>
      <c r="H172" s="37"/>
      <c r="I172"/>
    </row>
    <row r="173" spans="1:9" ht="27.75" customHeight="1" x14ac:dyDescent="0.55000000000000004">
      <c r="A173" s="166" t="s">
        <v>11</v>
      </c>
      <c r="B173" s="166"/>
      <c r="C173" s="166"/>
      <c r="D173" s="546" t="s">
        <v>493</v>
      </c>
      <c r="E173" s="166"/>
      <c r="F173" s="164"/>
      <c r="G173" s="55"/>
      <c r="H173" s="37"/>
      <c r="I173"/>
    </row>
    <row r="174" spans="1:9" ht="27.75" customHeight="1" x14ac:dyDescent="0.55000000000000004">
      <c r="A174" s="166"/>
      <c r="B174" s="166"/>
      <c r="C174" s="166"/>
      <c r="D174" s="546"/>
      <c r="E174" s="166"/>
      <c r="F174" s="164"/>
      <c r="G174" s="55"/>
      <c r="H174" s="37"/>
      <c r="I174"/>
    </row>
    <row r="175" spans="1:9" ht="27.75" customHeight="1" x14ac:dyDescent="0.2">
      <c r="A175" s="744" t="s">
        <v>14</v>
      </c>
      <c r="B175" s="752"/>
      <c r="C175" s="752"/>
      <c r="D175" s="752"/>
      <c r="E175" s="752"/>
      <c r="F175" s="745"/>
      <c r="G175" s="540">
        <f>SUM(G168:G171)</f>
        <v>648500</v>
      </c>
      <c r="H175" s="469" t="s">
        <v>6</v>
      </c>
      <c r="I175"/>
    </row>
  </sheetData>
  <mergeCells count="26">
    <mergeCell ref="G154:H154"/>
    <mergeCell ref="A164:F164"/>
    <mergeCell ref="A166:E166"/>
    <mergeCell ref="G167:H167"/>
    <mergeCell ref="A175:F175"/>
    <mergeCell ref="A123:E123"/>
    <mergeCell ref="G123:H123"/>
    <mergeCell ref="G124:H124"/>
    <mergeCell ref="A151:F151"/>
    <mergeCell ref="A153:E153"/>
    <mergeCell ref="G153:H153"/>
    <mergeCell ref="G32:H32"/>
    <mergeCell ref="A1:H1"/>
    <mergeCell ref="A2:H2"/>
    <mergeCell ref="A3:H3"/>
    <mergeCell ref="A4:E4"/>
    <mergeCell ref="G6:H6"/>
    <mergeCell ref="A29:F29"/>
    <mergeCell ref="A31:E31"/>
    <mergeCell ref="G31:H31"/>
    <mergeCell ref="G94:H94"/>
    <mergeCell ref="G63:H63"/>
    <mergeCell ref="A52:F52"/>
    <mergeCell ref="A62:E62"/>
    <mergeCell ref="G62:H62"/>
    <mergeCell ref="A72:F72"/>
  </mergeCells>
  <pageMargins left="0.35" right="0.17" top="0.99" bottom="0.48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view="pageBreakPreview" zoomScaleNormal="100" zoomScaleSheetLayoutView="100" workbookViewId="0">
      <selection activeCell="F29" sqref="F29"/>
    </sheetView>
  </sheetViews>
  <sheetFormatPr defaultRowHeight="24" x14ac:dyDescent="0.55000000000000004"/>
  <cols>
    <col min="1" max="1" width="2.85546875" style="6" customWidth="1"/>
    <col min="2" max="2" width="9.140625" style="6"/>
    <col min="3" max="3" width="18" style="6" customWidth="1"/>
    <col min="4" max="4" width="6.42578125" style="6" customWidth="1"/>
    <col min="5" max="5" width="8.28515625" style="6" customWidth="1"/>
    <col min="6" max="6" width="8.7109375" style="6" customWidth="1"/>
    <col min="7" max="7" width="9.7109375" style="6" customWidth="1"/>
    <col min="8" max="8" width="10" style="6" customWidth="1"/>
    <col min="9" max="9" width="8.85546875" style="6" customWidth="1"/>
    <col min="10" max="11" width="9.42578125" style="6" customWidth="1"/>
    <col min="12" max="15" width="9.140625" style="6"/>
    <col min="16" max="16" width="14.140625" style="6" customWidth="1"/>
    <col min="17" max="16384" width="9.140625" style="6"/>
  </cols>
  <sheetData>
    <row r="1" spans="1:12" x14ac:dyDescent="0.55000000000000004">
      <c r="A1" s="720" t="s">
        <v>414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50"/>
    </row>
    <row r="2" spans="1:12" x14ac:dyDescent="0.55000000000000004">
      <c r="A2" s="720" t="s">
        <v>107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49"/>
    </row>
    <row r="3" spans="1:12" x14ac:dyDescent="0.55000000000000004">
      <c r="A3" s="720" t="s">
        <v>606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50"/>
    </row>
    <row r="4" spans="1:12" x14ac:dyDescent="0.55000000000000004">
      <c r="A4" s="466"/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50"/>
    </row>
    <row r="5" spans="1:12" s="60" customFormat="1" x14ac:dyDescent="0.55000000000000004">
      <c r="A5" s="563" t="s">
        <v>505</v>
      </c>
      <c r="F5" s="783">
        <v>2561</v>
      </c>
      <c r="G5" s="783"/>
      <c r="H5" s="783"/>
      <c r="I5" s="783">
        <v>2560</v>
      </c>
      <c r="J5" s="783"/>
      <c r="K5" s="783"/>
      <c r="L5" s="5"/>
    </row>
    <row r="6" spans="1:12" x14ac:dyDescent="0.55000000000000004">
      <c r="A6" s="346" t="s">
        <v>712</v>
      </c>
      <c r="B6" s="594"/>
      <c r="C6" s="572"/>
      <c r="D6" s="572"/>
      <c r="E6" s="573"/>
      <c r="F6" s="581"/>
      <c r="G6" s="581"/>
      <c r="H6" s="582">
        <v>6247257.4299999997</v>
      </c>
      <c r="I6" s="580"/>
      <c r="J6" s="581"/>
      <c r="K6" s="582">
        <v>3562934.19</v>
      </c>
      <c r="L6" s="1"/>
    </row>
    <row r="7" spans="1:12" x14ac:dyDescent="0.55000000000000004">
      <c r="A7" s="595"/>
      <c r="B7" s="5" t="s">
        <v>66</v>
      </c>
      <c r="C7" s="5"/>
      <c r="D7" s="5"/>
      <c r="E7" s="575"/>
      <c r="F7" s="584"/>
      <c r="G7" s="584">
        <v>4384032.5599999996</v>
      </c>
      <c r="H7" s="585"/>
      <c r="I7" s="583"/>
      <c r="J7" s="584">
        <v>4134599.79</v>
      </c>
      <c r="K7" s="585"/>
      <c r="L7" s="1"/>
    </row>
    <row r="8" spans="1:12" x14ac:dyDescent="0.55000000000000004">
      <c r="A8" s="574"/>
      <c r="B8" s="564" t="s">
        <v>506</v>
      </c>
      <c r="C8" s="5"/>
      <c r="D8" s="5"/>
      <c r="E8" s="575"/>
      <c r="F8" s="566">
        <f>SUM(G7*25/100)</f>
        <v>1096008.1399999999</v>
      </c>
      <c r="G8" s="584"/>
      <c r="H8" s="585"/>
      <c r="I8" s="586">
        <f>SUM(J7*25/100)</f>
        <v>1033649.9475</v>
      </c>
      <c r="J8" s="584"/>
      <c r="K8" s="585"/>
      <c r="L8" s="1"/>
    </row>
    <row r="9" spans="1:12" x14ac:dyDescent="0.55000000000000004">
      <c r="A9" s="596" t="s">
        <v>32</v>
      </c>
      <c r="B9" s="599" t="s">
        <v>105</v>
      </c>
      <c r="C9" s="5"/>
      <c r="D9" s="5"/>
      <c r="E9" s="575"/>
      <c r="F9" s="584"/>
      <c r="G9" s="584">
        <f>SUM(G7-F8)</f>
        <v>3288024.42</v>
      </c>
      <c r="H9" s="585"/>
      <c r="I9" s="583"/>
      <c r="J9" s="584">
        <f>SUM(J7-I8)</f>
        <v>3100949.8425000003</v>
      </c>
      <c r="K9" s="585"/>
      <c r="L9" s="1"/>
    </row>
    <row r="10" spans="1:12" x14ac:dyDescent="0.55000000000000004">
      <c r="A10" s="574"/>
      <c r="B10" s="5" t="s">
        <v>714</v>
      </c>
      <c r="C10" s="5"/>
      <c r="D10" s="5"/>
      <c r="E10" s="575"/>
      <c r="F10" s="584"/>
      <c r="G10" s="584">
        <v>14018.01</v>
      </c>
      <c r="H10" s="585"/>
      <c r="I10" s="584"/>
      <c r="J10" s="566">
        <f>12000</f>
        <v>12000</v>
      </c>
      <c r="K10" s="587">
        <f>SUM(J9:J10)</f>
        <v>3112949.8425000003</v>
      </c>
      <c r="L10" s="1"/>
    </row>
    <row r="11" spans="1:12" x14ac:dyDescent="0.55000000000000004">
      <c r="A11" s="574"/>
      <c r="B11" s="564" t="s">
        <v>717</v>
      </c>
      <c r="C11" s="5"/>
      <c r="D11" s="5"/>
      <c r="E11" s="575"/>
      <c r="F11" s="584"/>
      <c r="G11" s="566">
        <v>52388.4</v>
      </c>
      <c r="H11" s="587">
        <f>SUM(G9:G11)</f>
        <v>3354430.8299999996</v>
      </c>
      <c r="I11" s="583"/>
      <c r="J11" s="584"/>
      <c r="K11" s="585"/>
      <c r="L11" s="1"/>
    </row>
    <row r="12" spans="1:12" x14ac:dyDescent="0.55000000000000004">
      <c r="A12" s="574"/>
      <c r="B12" s="564"/>
      <c r="C12" s="5"/>
      <c r="D12" s="5"/>
      <c r="E12" s="575"/>
      <c r="F12" s="584"/>
      <c r="G12" s="584"/>
      <c r="H12" s="585">
        <f>SUM(H6+H11)</f>
        <v>9601688.2599999998</v>
      </c>
      <c r="I12" s="583"/>
      <c r="J12" s="584"/>
      <c r="K12" s="585">
        <f>SUM(K6+K10)</f>
        <v>6675884.0325000007</v>
      </c>
      <c r="L12" s="1"/>
    </row>
    <row r="13" spans="1:12" x14ac:dyDescent="0.55000000000000004">
      <c r="A13" s="596" t="s">
        <v>27</v>
      </c>
      <c r="B13" s="5" t="s">
        <v>507</v>
      </c>
      <c r="C13" s="5"/>
      <c r="D13" s="5"/>
      <c r="E13" s="575"/>
      <c r="F13" s="584">
        <v>720500</v>
      </c>
      <c r="G13" s="584"/>
      <c r="H13" s="588"/>
      <c r="I13" s="583">
        <v>428626.6</v>
      </c>
      <c r="J13" s="584"/>
      <c r="K13" s="588"/>
      <c r="L13" s="1"/>
    </row>
    <row r="14" spans="1:12" x14ac:dyDescent="0.55000000000000004">
      <c r="A14" s="574"/>
      <c r="B14" s="5"/>
      <c r="C14" s="5"/>
      <c r="D14" s="5"/>
      <c r="E14" s="575"/>
      <c r="F14" s="584"/>
      <c r="G14" s="584"/>
      <c r="H14" s="588">
        <f>SUM(F13:F13)</f>
        <v>720500</v>
      </c>
      <c r="I14" s="583"/>
      <c r="J14" s="584"/>
      <c r="K14" s="588">
        <f>SUM(I13:I13)</f>
        <v>428626.6</v>
      </c>
      <c r="L14" s="1"/>
    </row>
    <row r="15" spans="1:12" ht="24.75" thickBot="1" x14ac:dyDescent="0.6">
      <c r="A15" s="574"/>
      <c r="B15" s="576" t="s">
        <v>716</v>
      </c>
      <c r="C15" s="576"/>
      <c r="D15" s="576"/>
      <c r="E15" s="577"/>
      <c r="F15" s="567"/>
      <c r="G15" s="584"/>
      <c r="H15" s="598">
        <f>SUM(H12-H14)</f>
        <v>8881188.2599999998</v>
      </c>
      <c r="I15" s="589"/>
      <c r="J15" s="584"/>
      <c r="K15" s="590">
        <f>SUM(K12-K14)</f>
        <v>6247257.432500001</v>
      </c>
      <c r="L15" s="1"/>
    </row>
    <row r="16" spans="1:12" ht="24.75" thickTop="1" x14ac:dyDescent="0.55000000000000004">
      <c r="A16" s="249"/>
      <c r="B16" s="578"/>
      <c r="C16" s="578"/>
      <c r="D16" s="578"/>
      <c r="E16" s="579"/>
      <c r="F16" s="593"/>
      <c r="G16" s="566"/>
      <c r="H16" s="592"/>
      <c r="I16" s="591"/>
      <c r="J16" s="566"/>
      <c r="K16" s="592"/>
    </row>
    <row r="17" spans="1:11" x14ac:dyDescent="0.55000000000000004">
      <c r="A17" s="60"/>
      <c r="B17" s="75"/>
      <c r="C17" s="75"/>
      <c r="D17" s="75"/>
      <c r="E17" s="75"/>
      <c r="F17" s="567"/>
      <c r="G17" s="584"/>
      <c r="H17" s="567"/>
      <c r="I17" s="567"/>
      <c r="J17" s="584"/>
      <c r="K17" s="567"/>
    </row>
    <row r="18" spans="1:11" x14ac:dyDescent="0.55000000000000004">
      <c r="A18" s="1" t="s">
        <v>713</v>
      </c>
      <c r="B18" s="1"/>
      <c r="C18" s="1"/>
      <c r="D18" s="1"/>
      <c r="E18" s="1"/>
      <c r="F18" s="43"/>
      <c r="G18" s="597">
        <v>2561</v>
      </c>
      <c r="H18" s="43"/>
      <c r="I18" s="43"/>
      <c r="J18" s="473">
        <v>2560</v>
      </c>
      <c r="K18" s="43"/>
    </row>
    <row r="19" spans="1:11" x14ac:dyDescent="0.55000000000000004">
      <c r="A19" s="467">
        <v>1</v>
      </c>
      <c r="B19" s="1" t="s">
        <v>151</v>
      </c>
      <c r="C19" s="1"/>
      <c r="D19" s="1"/>
      <c r="E19" s="1"/>
      <c r="F19" s="568"/>
      <c r="G19" s="568">
        <v>1290827.25</v>
      </c>
      <c r="H19" s="43"/>
      <c r="I19" s="568"/>
      <c r="J19" s="568">
        <v>923897.37</v>
      </c>
      <c r="K19" s="43"/>
    </row>
    <row r="20" spans="1:11" x14ac:dyDescent="0.55000000000000004">
      <c r="A20" s="467">
        <v>2</v>
      </c>
      <c r="B20" s="1" t="s">
        <v>508</v>
      </c>
      <c r="C20" s="1"/>
      <c r="D20" s="1"/>
      <c r="E20" s="1"/>
      <c r="F20" s="568"/>
      <c r="G20" s="568">
        <v>16536.75</v>
      </c>
      <c r="H20" s="43"/>
      <c r="I20" s="568"/>
      <c r="J20" s="568">
        <v>10017</v>
      </c>
      <c r="K20" s="43"/>
    </row>
    <row r="21" spans="1:11" x14ac:dyDescent="0.55000000000000004">
      <c r="A21" s="467">
        <v>3</v>
      </c>
      <c r="B21" s="1" t="s">
        <v>509</v>
      </c>
      <c r="C21" s="1"/>
      <c r="D21" s="1"/>
      <c r="E21" s="1"/>
      <c r="F21" s="568"/>
      <c r="G21" s="568">
        <f>85836.6+456081</f>
        <v>541917.6</v>
      </c>
      <c r="H21" s="43"/>
      <c r="I21" s="568"/>
      <c r="J21" s="568">
        <f>177648.05+350167</f>
        <v>527815.05000000005</v>
      </c>
      <c r="K21" s="43"/>
    </row>
    <row r="22" spans="1:11" x14ac:dyDescent="0.55000000000000004">
      <c r="A22" s="467">
        <v>4</v>
      </c>
      <c r="B22" s="1" t="s">
        <v>510</v>
      </c>
      <c r="C22" s="1"/>
      <c r="D22" s="1"/>
      <c r="E22" s="1"/>
      <c r="F22" s="568"/>
      <c r="G22" s="568">
        <v>9584000</v>
      </c>
      <c r="H22" s="43"/>
      <c r="I22" s="568"/>
      <c r="J22" s="568">
        <v>2151000</v>
      </c>
      <c r="K22" s="43"/>
    </row>
    <row r="23" spans="1:11" x14ac:dyDescent="0.55000000000000004">
      <c r="A23" s="467">
        <v>5</v>
      </c>
      <c r="B23" s="1" t="s">
        <v>511</v>
      </c>
      <c r="C23" s="1"/>
      <c r="D23" s="1"/>
      <c r="E23" s="1"/>
      <c r="F23" s="569"/>
      <c r="G23" s="570">
        <f>SUM(H15-G19-G20-G21-G22)</f>
        <v>-2552093.34</v>
      </c>
      <c r="H23" s="569"/>
      <c r="I23" s="569"/>
      <c r="J23" s="570">
        <f>SUM(K15-J19-J20-J21-J22)</f>
        <v>2634528.0125000011</v>
      </c>
      <c r="K23" s="569"/>
    </row>
    <row r="24" spans="1:11" ht="24.75" thickBot="1" x14ac:dyDescent="0.6">
      <c r="A24" s="1"/>
      <c r="B24" s="1" t="s">
        <v>718</v>
      </c>
      <c r="C24" s="1"/>
      <c r="D24" s="1"/>
      <c r="E24" s="1"/>
      <c r="F24" s="569"/>
      <c r="G24" s="571">
        <f>SUM(G19:G23)</f>
        <v>8881188.2599999998</v>
      </c>
      <c r="H24" s="220"/>
      <c r="I24" s="569"/>
      <c r="J24" s="565">
        <f>SUM(J19:J23)</f>
        <v>6247257.432500001</v>
      </c>
      <c r="K24" s="220"/>
    </row>
    <row r="25" spans="1:11" ht="24.75" thickTop="1" x14ac:dyDescent="0.55000000000000004">
      <c r="A25" s="762"/>
      <c r="B25" s="762"/>
      <c r="C25" s="762"/>
      <c r="D25" s="762"/>
      <c r="E25" s="762"/>
      <c r="F25" s="762"/>
      <c r="G25" s="762"/>
      <c r="H25" s="762"/>
      <c r="I25" s="762"/>
      <c r="J25" s="762"/>
      <c r="K25" s="762"/>
    </row>
    <row r="26" spans="1:11" x14ac:dyDescent="0.55000000000000004">
      <c r="A26" s="762" t="s">
        <v>818</v>
      </c>
      <c r="B26" s="762"/>
      <c r="C26" s="762"/>
      <c r="D26" s="762"/>
      <c r="E26" s="762"/>
      <c r="F26" s="762"/>
      <c r="G26" s="762"/>
      <c r="H26" s="762"/>
      <c r="I26" s="762"/>
      <c r="J26" s="762"/>
      <c r="K26" s="762"/>
    </row>
    <row r="27" spans="1:11" x14ac:dyDescent="0.55000000000000004">
      <c r="A27" s="472" t="s">
        <v>715</v>
      </c>
      <c r="B27" s="472"/>
      <c r="C27" s="472"/>
      <c r="D27" s="472"/>
      <c r="E27" s="472"/>
      <c r="F27" s="472"/>
      <c r="G27" s="472"/>
      <c r="H27" s="472"/>
      <c r="I27" s="472"/>
      <c r="J27" s="472"/>
      <c r="K27" s="472"/>
    </row>
    <row r="28" spans="1:11" x14ac:dyDescent="0.55000000000000004">
      <c r="A28" s="1" t="s">
        <v>573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11" x14ac:dyDescent="0.5500000000000000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55000000000000004">
      <c r="A31" s="6" t="s">
        <v>67</v>
      </c>
      <c r="E31" s="6" t="s">
        <v>72</v>
      </c>
      <c r="H31" s="742" t="s">
        <v>577</v>
      </c>
      <c r="I31" s="742"/>
      <c r="J31" s="742"/>
    </row>
    <row r="32" spans="1:11" x14ac:dyDescent="0.55000000000000004">
      <c r="A32" s="6" t="s">
        <v>69</v>
      </c>
      <c r="E32" s="6" t="s">
        <v>73</v>
      </c>
      <c r="H32" s="742" t="s">
        <v>70</v>
      </c>
      <c r="I32" s="742"/>
      <c r="J32" s="742"/>
    </row>
    <row r="33" spans="1:12" x14ac:dyDescent="0.55000000000000004">
      <c r="A33" s="52" t="s">
        <v>79</v>
      </c>
      <c r="B33" s="52"/>
    </row>
    <row r="34" spans="1:12" x14ac:dyDescent="0.55000000000000004">
      <c r="K34" s="148"/>
    </row>
    <row r="35" spans="1:12" x14ac:dyDescent="0.55000000000000004">
      <c r="K35" s="148"/>
    </row>
    <row r="45" spans="1:12" x14ac:dyDescent="0.55000000000000004">
      <c r="L45" s="6" t="s">
        <v>13</v>
      </c>
    </row>
    <row r="46" spans="1:12" x14ac:dyDescent="0.55000000000000004">
      <c r="A46" s="6" t="s">
        <v>34</v>
      </c>
    </row>
    <row r="58" spans="1:1" x14ac:dyDescent="0.55000000000000004">
      <c r="A58" s="6" t="s">
        <v>35</v>
      </c>
    </row>
  </sheetData>
  <mergeCells count="9">
    <mergeCell ref="H32:J32"/>
    <mergeCell ref="H31:J31"/>
    <mergeCell ref="A2:K2"/>
    <mergeCell ref="A1:K1"/>
    <mergeCell ref="A3:K3"/>
    <mergeCell ref="A25:K25"/>
    <mergeCell ref="A26:K26"/>
    <mergeCell ref="F5:H5"/>
    <mergeCell ref="I5:K5"/>
  </mergeCells>
  <phoneticPr fontId="2" type="noConversion"/>
  <pageMargins left="0.35" right="0.16" top="0.49" bottom="0.48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view="pageBreakPreview" zoomScaleNormal="100" zoomScaleSheetLayoutView="100" workbookViewId="0">
      <selection activeCell="C44" sqref="C44"/>
    </sheetView>
  </sheetViews>
  <sheetFormatPr defaultRowHeight="24" x14ac:dyDescent="0.55000000000000004"/>
  <cols>
    <col min="1" max="1" width="11" style="6" customWidth="1"/>
    <col min="2" max="2" width="23.42578125" style="6" customWidth="1"/>
    <col min="3" max="3" width="37.140625" style="6" customWidth="1"/>
    <col min="4" max="4" width="16.85546875" style="6" customWidth="1"/>
    <col min="5" max="5" width="12.42578125" style="6" customWidth="1"/>
    <col min="6" max="7" width="12.5703125" style="6" customWidth="1"/>
    <col min="8" max="8" width="14.5703125" style="6" customWidth="1"/>
    <col min="9" max="16384" width="9.140625" style="6"/>
  </cols>
  <sheetData>
    <row r="1" spans="1:8" ht="24" customHeight="1" x14ac:dyDescent="0.55000000000000004">
      <c r="A1" s="720" t="s">
        <v>414</v>
      </c>
      <c r="B1" s="720"/>
      <c r="C1" s="720"/>
      <c r="D1" s="720"/>
      <c r="E1" s="720"/>
      <c r="F1" s="720"/>
      <c r="G1" s="720"/>
      <c r="H1" s="720"/>
    </row>
    <row r="2" spans="1:8" ht="23.1" customHeight="1" x14ac:dyDescent="0.55000000000000004">
      <c r="A2" s="720" t="s">
        <v>107</v>
      </c>
      <c r="B2" s="720"/>
      <c r="C2" s="720"/>
      <c r="D2" s="720"/>
      <c r="E2" s="720"/>
      <c r="F2" s="720"/>
      <c r="G2" s="720"/>
      <c r="H2" s="720"/>
    </row>
    <row r="3" spans="1:8" ht="23.1" customHeight="1" x14ac:dyDescent="0.55000000000000004">
      <c r="A3" s="720" t="s">
        <v>606</v>
      </c>
      <c r="B3" s="720"/>
      <c r="C3" s="720"/>
      <c r="D3" s="720"/>
      <c r="E3" s="720"/>
      <c r="F3" s="720"/>
      <c r="G3" s="720"/>
      <c r="H3" s="720"/>
    </row>
    <row r="4" spans="1:8" ht="21.95" customHeight="1" x14ac:dyDescent="0.55000000000000004">
      <c r="A4" s="6" t="s">
        <v>572</v>
      </c>
      <c r="H4" s="297"/>
    </row>
    <row r="5" spans="1:8" ht="21.95" customHeight="1" x14ac:dyDescent="0.55000000000000004">
      <c r="A5" s="600" t="s">
        <v>661</v>
      </c>
    </row>
    <row r="6" spans="1:8" ht="21.95" customHeight="1" x14ac:dyDescent="0.55000000000000004">
      <c r="A6" s="784" t="s">
        <v>422</v>
      </c>
      <c r="B6" s="784" t="s">
        <v>423</v>
      </c>
      <c r="C6" s="784" t="s">
        <v>424</v>
      </c>
      <c r="D6" s="445" t="s">
        <v>514</v>
      </c>
      <c r="E6" s="445" t="s">
        <v>31</v>
      </c>
      <c r="F6" s="445" t="s">
        <v>30</v>
      </c>
      <c r="G6" s="784" t="s">
        <v>26</v>
      </c>
      <c r="H6" s="191" t="s">
        <v>36</v>
      </c>
    </row>
    <row r="7" spans="1:8" ht="21.95" customHeight="1" x14ac:dyDescent="0.55000000000000004">
      <c r="A7" s="785"/>
      <c r="B7" s="785"/>
      <c r="C7" s="785"/>
      <c r="D7" s="445" t="s">
        <v>515</v>
      </c>
      <c r="E7" s="445" t="s">
        <v>516</v>
      </c>
      <c r="F7" s="445" t="s">
        <v>516</v>
      </c>
      <c r="G7" s="785"/>
      <c r="H7" s="191" t="s">
        <v>37</v>
      </c>
    </row>
    <row r="8" spans="1:8" ht="21" customHeight="1" x14ac:dyDescent="0.55000000000000004">
      <c r="A8" s="46" t="s">
        <v>536</v>
      </c>
      <c r="B8" s="35" t="s">
        <v>546</v>
      </c>
      <c r="C8" s="303" t="s">
        <v>719</v>
      </c>
      <c r="D8" s="253">
        <v>305000</v>
      </c>
      <c r="E8" s="253">
        <v>305000</v>
      </c>
      <c r="F8" s="253">
        <v>305000</v>
      </c>
      <c r="G8" s="257">
        <f t="shared" ref="G8:G16" si="0">SUM(D8-F8)</f>
        <v>0</v>
      </c>
      <c r="H8" s="55"/>
    </row>
    <row r="9" spans="1:8" ht="21" customHeight="1" x14ac:dyDescent="0.55000000000000004">
      <c r="A9" s="37" t="s">
        <v>493</v>
      </c>
      <c r="B9" s="35"/>
      <c r="C9" s="35" t="s">
        <v>720</v>
      </c>
      <c r="D9" s="55"/>
      <c r="E9" s="55"/>
      <c r="F9" s="55"/>
      <c r="G9" s="55">
        <f t="shared" si="0"/>
        <v>0</v>
      </c>
      <c r="H9" s="55"/>
    </row>
    <row r="10" spans="1:8" ht="21" customHeight="1" x14ac:dyDescent="0.55000000000000004">
      <c r="A10" s="37"/>
      <c r="B10" s="35"/>
      <c r="C10" s="35" t="s">
        <v>721</v>
      </c>
      <c r="D10" s="55"/>
      <c r="E10" s="55"/>
      <c r="F10" s="55"/>
      <c r="G10" s="55">
        <f t="shared" si="0"/>
        <v>0</v>
      </c>
      <c r="H10" s="55"/>
    </row>
    <row r="11" spans="1:8" ht="21" customHeight="1" x14ac:dyDescent="0.55000000000000004">
      <c r="A11" s="37"/>
      <c r="B11" s="35"/>
      <c r="C11" s="316" t="s">
        <v>722</v>
      </c>
      <c r="D11" s="55"/>
      <c r="E11" s="55"/>
      <c r="F11" s="55"/>
      <c r="G11" s="308"/>
      <c r="H11" s="55"/>
    </row>
    <row r="12" spans="1:8" ht="21" customHeight="1" x14ac:dyDescent="0.55000000000000004">
      <c r="A12" s="37"/>
      <c r="B12" s="35"/>
      <c r="C12" s="316" t="s">
        <v>723</v>
      </c>
      <c r="D12" s="55"/>
      <c r="E12" s="55"/>
      <c r="F12" s="55"/>
      <c r="G12" s="308"/>
      <c r="H12" s="55"/>
    </row>
    <row r="13" spans="1:8" ht="21" customHeight="1" x14ac:dyDescent="0.55000000000000004">
      <c r="A13" s="38"/>
      <c r="B13" s="36"/>
      <c r="C13" s="305" t="s">
        <v>724</v>
      </c>
      <c r="D13" s="306"/>
      <c r="E13" s="306"/>
      <c r="F13" s="306"/>
      <c r="G13" s="307"/>
      <c r="H13" s="306"/>
    </row>
    <row r="14" spans="1:8" ht="21" customHeight="1" x14ac:dyDescent="0.55000000000000004">
      <c r="A14" s="46" t="s">
        <v>536</v>
      </c>
      <c r="B14" s="35" t="s">
        <v>546</v>
      </c>
      <c r="C14" s="303" t="s">
        <v>725</v>
      </c>
      <c r="D14" s="257">
        <v>140000</v>
      </c>
      <c r="E14" s="257">
        <v>138500</v>
      </c>
      <c r="F14" s="257">
        <v>138500</v>
      </c>
      <c r="G14" s="257">
        <f t="shared" si="0"/>
        <v>1500</v>
      </c>
      <c r="H14" s="55"/>
    </row>
    <row r="15" spans="1:8" ht="21" customHeight="1" x14ac:dyDescent="0.55000000000000004">
      <c r="A15" s="37" t="s">
        <v>493</v>
      </c>
      <c r="B15" s="35"/>
      <c r="C15" s="35" t="s">
        <v>564</v>
      </c>
      <c r="D15" s="55"/>
      <c r="E15" s="55"/>
      <c r="F15" s="55"/>
      <c r="G15" s="55">
        <f t="shared" si="0"/>
        <v>0</v>
      </c>
      <c r="H15" s="55"/>
    </row>
    <row r="16" spans="1:8" ht="21" customHeight="1" x14ac:dyDescent="0.55000000000000004">
      <c r="A16" s="37"/>
      <c r="B16" s="35"/>
      <c r="C16" s="316" t="s">
        <v>722</v>
      </c>
      <c r="D16" s="55"/>
      <c r="E16" s="55"/>
      <c r="F16" s="55"/>
      <c r="G16" s="55">
        <f t="shared" si="0"/>
        <v>0</v>
      </c>
      <c r="H16" s="55"/>
    </row>
    <row r="17" spans="1:8" ht="21" customHeight="1" x14ac:dyDescent="0.55000000000000004">
      <c r="A17" s="37"/>
      <c r="B17" s="35"/>
      <c r="C17" s="316" t="s">
        <v>723</v>
      </c>
      <c r="D17" s="55"/>
      <c r="E17" s="55"/>
      <c r="F17" s="55"/>
      <c r="G17" s="308"/>
      <c r="H17" s="55"/>
    </row>
    <row r="18" spans="1:8" ht="21" customHeight="1" x14ac:dyDescent="0.55000000000000004">
      <c r="A18" s="38"/>
      <c r="B18" s="36"/>
      <c r="C18" s="305" t="s">
        <v>724</v>
      </c>
      <c r="D18" s="306"/>
      <c r="E18" s="306"/>
      <c r="F18" s="306"/>
      <c r="G18" s="307"/>
      <c r="H18" s="306"/>
    </row>
    <row r="19" spans="1:8" ht="21" customHeight="1" x14ac:dyDescent="0.55000000000000004">
      <c r="A19" s="46" t="s">
        <v>536</v>
      </c>
      <c r="B19" s="35" t="s">
        <v>546</v>
      </c>
      <c r="C19" s="303" t="s">
        <v>726</v>
      </c>
      <c r="D19" s="257">
        <v>280000</v>
      </c>
      <c r="E19" s="258">
        <v>277000</v>
      </c>
      <c r="F19" s="258">
        <v>277000</v>
      </c>
      <c r="G19" s="257">
        <f>SUM(D19-F19)</f>
        <v>3000</v>
      </c>
      <c r="H19" s="55">
        <v>0</v>
      </c>
    </row>
    <row r="20" spans="1:8" ht="21" customHeight="1" x14ac:dyDescent="0.55000000000000004">
      <c r="A20" s="37" t="s">
        <v>493</v>
      </c>
      <c r="B20" s="35"/>
      <c r="C20" s="35" t="s">
        <v>727</v>
      </c>
      <c r="D20" s="55"/>
      <c r="E20" s="55"/>
      <c r="F20" s="55"/>
      <c r="G20" s="55"/>
      <c r="H20" s="55"/>
    </row>
    <row r="21" spans="1:8" ht="21" customHeight="1" x14ac:dyDescent="0.55000000000000004">
      <c r="A21" s="37"/>
      <c r="B21" s="35"/>
      <c r="C21" s="316" t="s">
        <v>562</v>
      </c>
      <c r="D21" s="55"/>
      <c r="E21" s="55"/>
      <c r="F21" s="55"/>
      <c r="G21" s="55"/>
      <c r="H21" s="55"/>
    </row>
    <row r="22" spans="1:8" ht="21" customHeight="1" x14ac:dyDescent="0.55000000000000004">
      <c r="A22" s="37"/>
      <c r="B22" s="35"/>
      <c r="C22" s="316" t="s">
        <v>722</v>
      </c>
      <c r="D22" s="55"/>
      <c r="E22" s="55"/>
      <c r="F22" s="55"/>
      <c r="G22" s="308"/>
      <c r="H22" s="55"/>
    </row>
    <row r="23" spans="1:8" ht="21" customHeight="1" x14ac:dyDescent="0.55000000000000004">
      <c r="A23" s="37"/>
      <c r="B23" s="35"/>
      <c r="C23" s="316" t="s">
        <v>723</v>
      </c>
      <c r="D23" s="55"/>
      <c r="E23" s="55"/>
      <c r="F23" s="55"/>
      <c r="G23" s="308"/>
      <c r="H23" s="55"/>
    </row>
    <row r="24" spans="1:8" ht="21" customHeight="1" x14ac:dyDescent="0.55000000000000004">
      <c r="A24" s="37"/>
      <c r="B24" s="35"/>
      <c r="C24" s="316" t="s">
        <v>724</v>
      </c>
      <c r="D24" s="55"/>
      <c r="E24" s="55"/>
      <c r="F24" s="55"/>
      <c r="G24" s="308"/>
      <c r="H24" s="55"/>
    </row>
    <row r="25" spans="1:8" ht="21" customHeight="1" thickBot="1" x14ac:dyDescent="0.6">
      <c r="A25" s="313"/>
      <c r="B25" s="314" t="s">
        <v>29</v>
      </c>
      <c r="C25" s="314"/>
      <c r="D25" s="315">
        <f>SUM(D8:D24)</f>
        <v>725000</v>
      </c>
      <c r="E25" s="315">
        <f>SUM(E8:E24)</f>
        <v>720500</v>
      </c>
      <c r="F25" s="315">
        <f>SUM(F8:F24)</f>
        <v>720500</v>
      </c>
      <c r="G25" s="315">
        <f>SUM(G8:G24)</f>
        <v>4500</v>
      </c>
      <c r="H25" s="315">
        <f>SUM(H19:H19)</f>
        <v>0</v>
      </c>
    </row>
    <row r="26" spans="1:8" ht="21" customHeight="1" thickTop="1" x14ac:dyDescent="0.55000000000000004">
      <c r="A26" s="60"/>
      <c r="B26" s="468"/>
      <c r="C26" s="468"/>
      <c r="D26" s="601"/>
      <c r="E26" s="601"/>
      <c r="F26" s="601"/>
      <c r="G26" s="601"/>
      <c r="H26" s="601"/>
    </row>
    <row r="27" spans="1:8" x14ac:dyDescent="0.55000000000000004">
      <c r="A27" s="600" t="s">
        <v>662</v>
      </c>
      <c r="H27" s="297" t="s">
        <v>513</v>
      </c>
    </row>
    <row r="28" spans="1:8" x14ac:dyDescent="0.55000000000000004">
      <c r="A28" s="784" t="s">
        <v>422</v>
      </c>
      <c r="B28" s="784" t="s">
        <v>423</v>
      </c>
      <c r="C28" s="784" t="s">
        <v>424</v>
      </c>
      <c r="D28" s="191" t="s">
        <v>514</v>
      </c>
      <c r="E28" s="191" t="s">
        <v>31</v>
      </c>
      <c r="F28" s="191" t="s">
        <v>30</v>
      </c>
      <c r="G28" s="784" t="s">
        <v>26</v>
      </c>
      <c r="H28" s="191" t="s">
        <v>36</v>
      </c>
    </row>
    <row r="29" spans="1:8" x14ac:dyDescent="0.55000000000000004">
      <c r="A29" s="785"/>
      <c r="B29" s="785"/>
      <c r="C29" s="785"/>
      <c r="D29" s="191" t="s">
        <v>515</v>
      </c>
      <c r="E29" s="191" t="s">
        <v>516</v>
      </c>
      <c r="F29" s="191" t="s">
        <v>516</v>
      </c>
      <c r="G29" s="785"/>
      <c r="H29" s="191" t="s">
        <v>37</v>
      </c>
    </row>
    <row r="30" spans="1:8" x14ac:dyDescent="0.55000000000000004">
      <c r="A30" s="298" t="s">
        <v>21</v>
      </c>
      <c r="B30" s="299" t="s">
        <v>517</v>
      </c>
      <c r="C30" s="193" t="s">
        <v>518</v>
      </c>
      <c r="D30" s="300">
        <v>270000</v>
      </c>
      <c r="E30" s="301">
        <v>266455</v>
      </c>
      <c r="F30" s="300">
        <v>266455</v>
      </c>
      <c r="G30" s="302">
        <f t="shared" ref="G30:G46" si="1">SUM(D30-F30)</f>
        <v>3545</v>
      </c>
      <c r="H30" s="191"/>
    </row>
    <row r="31" spans="1:8" x14ac:dyDescent="0.55000000000000004">
      <c r="A31" s="46" t="s">
        <v>7</v>
      </c>
      <c r="B31" s="35" t="s">
        <v>519</v>
      </c>
      <c r="C31" s="303" t="s">
        <v>520</v>
      </c>
      <c r="D31" s="304">
        <v>7500</v>
      </c>
      <c r="E31" s="304">
        <v>7500</v>
      </c>
      <c r="F31" s="304">
        <v>7500</v>
      </c>
      <c r="G31" s="55">
        <f t="shared" si="1"/>
        <v>0</v>
      </c>
      <c r="H31" s="55"/>
    </row>
    <row r="32" spans="1:8" x14ac:dyDescent="0.55000000000000004">
      <c r="A32" s="37"/>
      <c r="B32" s="35" t="s">
        <v>521</v>
      </c>
      <c r="C32" s="35" t="s">
        <v>522</v>
      </c>
      <c r="D32" s="55"/>
      <c r="E32" s="55"/>
      <c r="F32" s="55"/>
      <c r="G32" s="55">
        <f t="shared" si="1"/>
        <v>0</v>
      </c>
      <c r="H32" s="55"/>
    </row>
    <row r="33" spans="1:8" x14ac:dyDescent="0.55000000000000004">
      <c r="A33" s="37"/>
      <c r="B33" s="35" t="s">
        <v>523</v>
      </c>
      <c r="C33" s="35" t="s">
        <v>524</v>
      </c>
      <c r="D33" s="55"/>
      <c r="E33" s="55"/>
      <c r="F33" s="55"/>
      <c r="G33" s="55">
        <f t="shared" si="1"/>
        <v>0</v>
      </c>
      <c r="H33" s="55"/>
    </row>
    <row r="34" spans="1:8" x14ac:dyDescent="0.55000000000000004">
      <c r="A34" s="38"/>
      <c r="B34" s="36" t="s">
        <v>525</v>
      </c>
      <c r="C34" s="305"/>
      <c r="D34" s="306"/>
      <c r="E34" s="306"/>
      <c r="F34" s="306"/>
      <c r="G34" s="307">
        <f t="shared" si="1"/>
        <v>0</v>
      </c>
      <c r="H34" s="306"/>
    </row>
    <row r="35" spans="1:8" x14ac:dyDescent="0.55000000000000004">
      <c r="A35" s="46" t="s">
        <v>7</v>
      </c>
      <c r="B35" s="35" t="s">
        <v>519</v>
      </c>
      <c r="C35" s="303" t="s">
        <v>520</v>
      </c>
      <c r="D35" s="304">
        <v>18000</v>
      </c>
      <c r="E35" s="304">
        <v>18000</v>
      </c>
      <c r="F35" s="304">
        <v>18000</v>
      </c>
      <c r="G35" s="55">
        <f t="shared" si="1"/>
        <v>0</v>
      </c>
      <c r="H35" s="55"/>
    </row>
    <row r="36" spans="1:8" x14ac:dyDescent="0.55000000000000004">
      <c r="A36" s="37"/>
      <c r="B36" s="35" t="s">
        <v>521</v>
      </c>
      <c r="C36" s="35" t="s">
        <v>526</v>
      </c>
      <c r="D36" s="55"/>
      <c r="E36" s="55"/>
      <c r="F36" s="55"/>
      <c r="G36" s="55">
        <f t="shared" si="1"/>
        <v>0</v>
      </c>
      <c r="H36" s="55"/>
    </row>
    <row r="37" spans="1:8" x14ac:dyDescent="0.55000000000000004">
      <c r="A37" s="37"/>
      <c r="B37" s="35" t="s">
        <v>523</v>
      </c>
      <c r="C37" s="35" t="s">
        <v>527</v>
      </c>
      <c r="D37" s="55"/>
      <c r="E37" s="55"/>
      <c r="F37" s="55"/>
      <c r="G37" s="55">
        <f t="shared" si="1"/>
        <v>0</v>
      </c>
      <c r="H37" s="55"/>
    </row>
    <row r="38" spans="1:8" x14ac:dyDescent="0.55000000000000004">
      <c r="A38" s="38"/>
      <c r="B38" s="36" t="s">
        <v>525</v>
      </c>
      <c r="C38" s="36"/>
      <c r="D38" s="306"/>
      <c r="E38" s="306"/>
      <c r="F38" s="306"/>
      <c r="G38" s="307">
        <f t="shared" si="1"/>
        <v>0</v>
      </c>
      <c r="H38" s="306"/>
    </row>
    <row r="39" spans="1:8" x14ac:dyDescent="0.55000000000000004">
      <c r="A39" s="46" t="s">
        <v>7</v>
      </c>
      <c r="B39" s="63" t="s">
        <v>519</v>
      </c>
      <c r="C39" s="303" t="s">
        <v>528</v>
      </c>
      <c r="D39" s="304">
        <v>9600</v>
      </c>
      <c r="E39" s="304">
        <v>9600</v>
      </c>
      <c r="F39" s="304">
        <v>9600</v>
      </c>
      <c r="G39" s="55">
        <f t="shared" si="1"/>
        <v>0</v>
      </c>
      <c r="H39" s="55"/>
    </row>
    <row r="40" spans="1:8" x14ac:dyDescent="0.55000000000000004">
      <c r="A40" s="37"/>
      <c r="B40" s="35" t="s">
        <v>521</v>
      </c>
      <c r="C40" s="35" t="s">
        <v>529</v>
      </c>
      <c r="D40" s="55"/>
      <c r="E40" s="55"/>
      <c r="F40" s="55"/>
      <c r="G40" s="55">
        <f t="shared" si="1"/>
        <v>0</v>
      </c>
      <c r="H40" s="55"/>
    </row>
    <row r="41" spans="1:8" x14ac:dyDescent="0.55000000000000004">
      <c r="A41" s="37"/>
      <c r="B41" s="35" t="s">
        <v>523</v>
      </c>
      <c r="C41" s="35" t="s">
        <v>530</v>
      </c>
      <c r="D41" s="55"/>
      <c r="E41" s="55"/>
      <c r="F41" s="55"/>
      <c r="G41" s="55">
        <f t="shared" si="1"/>
        <v>0</v>
      </c>
      <c r="H41" s="55"/>
    </row>
    <row r="42" spans="1:8" x14ac:dyDescent="0.55000000000000004">
      <c r="A42" s="37"/>
      <c r="B42" s="36" t="s">
        <v>525</v>
      </c>
      <c r="C42" s="35"/>
      <c r="D42" s="55"/>
      <c r="E42" s="55"/>
      <c r="F42" s="55"/>
      <c r="G42" s="308">
        <f t="shared" si="1"/>
        <v>0</v>
      </c>
      <c r="H42" s="55"/>
    </row>
    <row r="43" spans="1:8" x14ac:dyDescent="0.55000000000000004">
      <c r="A43" s="309" t="s">
        <v>7</v>
      </c>
      <c r="B43" s="35" t="s">
        <v>519</v>
      </c>
      <c r="C43" s="310" t="s">
        <v>531</v>
      </c>
      <c r="D43" s="304">
        <v>8000</v>
      </c>
      <c r="E43" s="304">
        <v>7904</v>
      </c>
      <c r="F43" s="304">
        <v>7904</v>
      </c>
      <c r="G43" s="304">
        <f t="shared" si="1"/>
        <v>96</v>
      </c>
      <c r="H43" s="304"/>
    </row>
    <row r="44" spans="1:8" x14ac:dyDescent="0.55000000000000004">
      <c r="A44" s="37"/>
      <c r="B44" s="35" t="s">
        <v>521</v>
      </c>
      <c r="C44" s="35" t="s">
        <v>532</v>
      </c>
      <c r="D44" s="55"/>
      <c r="E44" s="55"/>
      <c r="F44" s="55"/>
      <c r="G44" s="55">
        <f t="shared" si="1"/>
        <v>0</v>
      </c>
      <c r="H44" s="55"/>
    </row>
    <row r="45" spans="1:8" x14ac:dyDescent="0.55000000000000004">
      <c r="A45" s="37"/>
      <c r="B45" s="35" t="s">
        <v>523</v>
      </c>
      <c r="C45" s="35"/>
      <c r="D45" s="55"/>
      <c r="E45" s="55"/>
      <c r="F45" s="55"/>
      <c r="G45" s="55"/>
      <c r="H45" s="55"/>
    </row>
    <row r="46" spans="1:8" x14ac:dyDescent="0.55000000000000004">
      <c r="A46" s="38"/>
      <c r="B46" s="36" t="s">
        <v>525</v>
      </c>
      <c r="C46" s="36"/>
      <c r="D46" s="306"/>
      <c r="E46" s="306"/>
      <c r="F46" s="306"/>
      <c r="G46" s="306">
        <f t="shared" si="1"/>
        <v>0</v>
      </c>
      <c r="H46" s="306"/>
    </row>
    <row r="47" spans="1:8" x14ac:dyDescent="0.55000000000000004">
      <c r="A47" s="39"/>
      <c r="B47" s="26"/>
      <c r="C47" s="60"/>
      <c r="D47" s="252"/>
      <c r="E47" s="252"/>
      <c r="F47" s="252"/>
      <c r="G47" s="252"/>
      <c r="H47" s="252"/>
    </row>
    <row r="48" spans="1:8" x14ac:dyDescent="0.55000000000000004">
      <c r="A48" s="39"/>
      <c r="B48" s="26"/>
      <c r="C48" s="60"/>
      <c r="D48" s="252"/>
      <c r="E48" s="252"/>
      <c r="F48" s="252"/>
      <c r="G48" s="252"/>
      <c r="H48" s="252"/>
    </row>
    <row r="49" spans="1:8" x14ac:dyDescent="0.55000000000000004">
      <c r="A49" s="39"/>
      <c r="B49" s="26"/>
      <c r="C49" s="60"/>
      <c r="D49" s="252"/>
      <c r="E49" s="252"/>
      <c r="F49" s="252"/>
      <c r="G49" s="252"/>
      <c r="H49" s="252"/>
    </row>
    <row r="50" spans="1:8" x14ac:dyDescent="0.55000000000000004">
      <c r="A50" s="60"/>
      <c r="B50" s="474"/>
      <c r="C50" s="474"/>
      <c r="D50" s="252"/>
      <c r="E50" s="252"/>
      <c r="F50" s="252"/>
      <c r="G50" s="252"/>
      <c r="H50" s="312" t="s">
        <v>236</v>
      </c>
    </row>
    <row r="51" spans="1:8" x14ac:dyDescent="0.55000000000000004">
      <c r="A51" s="784" t="s">
        <v>422</v>
      </c>
      <c r="B51" s="784" t="s">
        <v>423</v>
      </c>
      <c r="C51" s="784" t="s">
        <v>424</v>
      </c>
      <c r="D51" s="191" t="s">
        <v>514</v>
      </c>
      <c r="E51" s="191" t="s">
        <v>31</v>
      </c>
      <c r="F51" s="191" t="s">
        <v>30</v>
      </c>
      <c r="G51" s="784" t="s">
        <v>26</v>
      </c>
      <c r="H51" s="191" t="s">
        <v>36</v>
      </c>
    </row>
    <row r="52" spans="1:8" x14ac:dyDescent="0.55000000000000004">
      <c r="A52" s="785"/>
      <c r="B52" s="785"/>
      <c r="C52" s="785"/>
      <c r="D52" s="191" t="s">
        <v>515</v>
      </c>
      <c r="E52" s="191" t="s">
        <v>516</v>
      </c>
      <c r="F52" s="191" t="s">
        <v>516</v>
      </c>
      <c r="G52" s="785"/>
      <c r="H52" s="191" t="s">
        <v>37</v>
      </c>
    </row>
    <row r="53" spans="1:8" x14ac:dyDescent="0.55000000000000004">
      <c r="A53" s="46" t="s">
        <v>7</v>
      </c>
      <c r="B53" s="35" t="s">
        <v>519</v>
      </c>
      <c r="C53" s="303" t="s">
        <v>533</v>
      </c>
      <c r="D53" s="304">
        <v>9000</v>
      </c>
      <c r="E53" s="304">
        <v>3664</v>
      </c>
      <c r="F53" s="304">
        <v>3664</v>
      </c>
      <c r="G53" s="55">
        <f>SUM(D53-F53)</f>
        <v>5336</v>
      </c>
      <c r="H53" s="55">
        <v>0</v>
      </c>
    </row>
    <row r="54" spans="1:8" x14ac:dyDescent="0.55000000000000004">
      <c r="A54" s="37"/>
      <c r="B54" s="35" t="s">
        <v>521</v>
      </c>
      <c r="C54" s="35" t="s">
        <v>534</v>
      </c>
      <c r="D54" s="55"/>
      <c r="E54" s="55"/>
      <c r="F54" s="55"/>
      <c r="G54" s="55"/>
      <c r="H54" s="55"/>
    </row>
    <row r="55" spans="1:8" x14ac:dyDescent="0.55000000000000004">
      <c r="A55" s="37"/>
      <c r="B55" s="35" t="s">
        <v>523</v>
      </c>
      <c r="C55" s="35" t="s">
        <v>535</v>
      </c>
      <c r="D55" s="55"/>
      <c r="E55" s="55"/>
      <c r="F55" s="55"/>
      <c r="G55" s="55"/>
      <c r="H55" s="55"/>
    </row>
    <row r="56" spans="1:8" x14ac:dyDescent="0.55000000000000004">
      <c r="A56" s="38"/>
      <c r="B56" s="36" t="s">
        <v>525</v>
      </c>
      <c r="C56" s="305"/>
      <c r="D56" s="306"/>
      <c r="E56" s="306"/>
      <c r="F56" s="306"/>
      <c r="G56" s="307"/>
      <c r="H56" s="306"/>
    </row>
    <row r="57" spans="1:8" x14ac:dyDescent="0.55000000000000004">
      <c r="A57" s="46" t="s">
        <v>536</v>
      </c>
      <c r="B57" s="35" t="s">
        <v>537</v>
      </c>
      <c r="C57" s="303" t="s">
        <v>538</v>
      </c>
      <c r="D57" s="304">
        <v>1500</v>
      </c>
      <c r="E57" s="304">
        <v>1500</v>
      </c>
      <c r="F57" s="304">
        <v>1083.5999999999999</v>
      </c>
      <c r="G57" s="55">
        <f>SUM(D57-F57)</f>
        <v>416.40000000000009</v>
      </c>
      <c r="H57" s="55">
        <v>0</v>
      </c>
    </row>
    <row r="58" spans="1:8" x14ac:dyDescent="0.55000000000000004">
      <c r="A58" s="37" t="s">
        <v>493</v>
      </c>
      <c r="B58" s="35" t="s">
        <v>539</v>
      </c>
      <c r="C58" s="35" t="s">
        <v>540</v>
      </c>
      <c r="D58" s="55"/>
      <c r="E58" s="55"/>
      <c r="F58" s="55"/>
      <c r="G58" s="55"/>
      <c r="H58" s="55"/>
    </row>
    <row r="59" spans="1:8" x14ac:dyDescent="0.55000000000000004">
      <c r="A59" s="37"/>
      <c r="B59" s="35"/>
      <c r="C59" s="35" t="s">
        <v>541</v>
      </c>
      <c r="D59" s="55"/>
      <c r="E59" s="55"/>
      <c r="F59" s="55"/>
      <c r="G59" s="55"/>
      <c r="H59" s="55"/>
    </row>
    <row r="60" spans="1:8" x14ac:dyDescent="0.55000000000000004">
      <c r="A60" s="38"/>
      <c r="B60" s="36"/>
      <c r="C60" s="36"/>
      <c r="D60" s="306"/>
      <c r="E60" s="306"/>
      <c r="F60" s="306"/>
      <c r="G60" s="307"/>
      <c r="H60" s="306"/>
    </row>
    <row r="61" spans="1:8" x14ac:dyDescent="0.55000000000000004">
      <c r="A61" s="46" t="s">
        <v>536</v>
      </c>
      <c r="B61" s="35" t="s">
        <v>537</v>
      </c>
      <c r="C61" s="303" t="s">
        <v>531</v>
      </c>
      <c r="D61" s="304">
        <v>83200</v>
      </c>
      <c r="E61" s="304">
        <v>82920</v>
      </c>
      <c r="F61" s="304">
        <v>82920</v>
      </c>
      <c r="G61" s="55">
        <f>SUM(D61-F61)</f>
        <v>280</v>
      </c>
      <c r="H61" s="55">
        <v>0</v>
      </c>
    </row>
    <row r="62" spans="1:8" x14ac:dyDescent="0.55000000000000004">
      <c r="A62" s="37" t="s">
        <v>493</v>
      </c>
      <c r="B62" s="35" t="s">
        <v>539</v>
      </c>
      <c r="C62" s="35" t="s">
        <v>542</v>
      </c>
      <c r="D62" s="55"/>
      <c r="E62" s="55"/>
      <c r="F62" s="55"/>
      <c r="G62" s="55">
        <f>SUM(D62-F62)</f>
        <v>0</v>
      </c>
      <c r="H62" s="55"/>
    </row>
    <row r="63" spans="1:8" x14ac:dyDescent="0.55000000000000004">
      <c r="A63" s="37"/>
      <c r="B63" s="35"/>
      <c r="C63" s="35" t="s">
        <v>50</v>
      </c>
      <c r="D63" s="55"/>
      <c r="E63" s="55"/>
      <c r="F63" s="55"/>
      <c r="G63" s="55">
        <f>SUM(D63-F63)</f>
        <v>0</v>
      </c>
      <c r="H63" s="55"/>
    </row>
    <row r="64" spans="1:8" x14ac:dyDescent="0.55000000000000004">
      <c r="A64" s="38"/>
      <c r="B64" s="36"/>
      <c r="C64" s="36"/>
      <c r="D64" s="306"/>
      <c r="E64" s="306"/>
      <c r="F64" s="306"/>
      <c r="G64" s="307"/>
      <c r="H64" s="306"/>
    </row>
    <row r="65" spans="1:8" x14ac:dyDescent="0.55000000000000004">
      <c r="A65" s="37" t="s">
        <v>7</v>
      </c>
      <c r="B65" s="35" t="s">
        <v>519</v>
      </c>
      <c r="C65" s="303" t="s">
        <v>543</v>
      </c>
      <c r="D65" s="304">
        <v>31500</v>
      </c>
      <c r="E65" s="304">
        <v>31500</v>
      </c>
      <c r="F65" s="304">
        <v>31500</v>
      </c>
      <c r="G65" s="55">
        <f>SUM(D65-F65)</f>
        <v>0</v>
      </c>
      <c r="H65" s="55">
        <v>0</v>
      </c>
    </row>
    <row r="66" spans="1:8" x14ac:dyDescent="0.55000000000000004">
      <c r="A66" s="37"/>
      <c r="B66" s="35" t="s">
        <v>521</v>
      </c>
      <c r="C66" s="35" t="s">
        <v>544</v>
      </c>
      <c r="D66" s="55"/>
      <c r="E66" s="55"/>
      <c r="F66" s="55"/>
      <c r="G66" s="308"/>
      <c r="H66" s="55"/>
    </row>
    <row r="67" spans="1:8" x14ac:dyDescent="0.55000000000000004">
      <c r="A67" s="37"/>
      <c r="B67" s="35" t="s">
        <v>523</v>
      </c>
      <c r="C67" s="35"/>
      <c r="D67" s="55"/>
      <c r="E67" s="55"/>
      <c r="F67" s="55"/>
      <c r="G67" s="308"/>
      <c r="H67" s="55"/>
    </row>
    <row r="68" spans="1:8" x14ac:dyDescent="0.55000000000000004">
      <c r="A68" s="37"/>
      <c r="B68" s="35" t="s">
        <v>525</v>
      </c>
      <c r="C68" s="35"/>
      <c r="D68" s="55"/>
      <c r="E68" s="55"/>
      <c r="F68" s="55"/>
      <c r="G68" s="55"/>
      <c r="H68" s="55"/>
    </row>
    <row r="69" spans="1:8" x14ac:dyDescent="0.55000000000000004">
      <c r="A69" s="38"/>
      <c r="B69" s="36"/>
      <c r="C69" s="35"/>
      <c r="D69" s="306"/>
      <c r="E69" s="306"/>
      <c r="F69" s="306"/>
      <c r="G69" s="307">
        <f>SUM(D69-F69)</f>
        <v>0</v>
      </c>
      <c r="H69" s="306"/>
    </row>
    <row r="70" spans="1:8" ht="24.75" thickBot="1" x14ac:dyDescent="0.6">
      <c r="A70" s="313"/>
      <c r="B70" s="314" t="s">
        <v>29</v>
      </c>
      <c r="C70" s="314"/>
      <c r="D70" s="315">
        <f>SUM(D30:D69)</f>
        <v>438300</v>
      </c>
      <c r="E70" s="315">
        <f>SUM(E30:E69)</f>
        <v>429043</v>
      </c>
      <c r="F70" s="315">
        <f>SUM(F30:F69)</f>
        <v>428626.6</v>
      </c>
      <c r="G70" s="315">
        <f>SUM(G30:G69)</f>
        <v>9673.4</v>
      </c>
      <c r="H70" s="315">
        <f>SUM(H53:H69)</f>
        <v>0</v>
      </c>
    </row>
    <row r="71" spans="1:8" ht="24.75" thickTop="1" x14ac:dyDescent="0.55000000000000004"/>
  </sheetData>
  <mergeCells count="15">
    <mergeCell ref="A1:H1"/>
    <mergeCell ref="A2:H2"/>
    <mergeCell ref="A3:H3"/>
    <mergeCell ref="A51:A52"/>
    <mergeCell ref="B51:B52"/>
    <mergeCell ref="C51:C52"/>
    <mergeCell ref="G51:G52"/>
    <mergeCell ref="A6:A7"/>
    <mergeCell ref="B6:B7"/>
    <mergeCell ref="C6:C7"/>
    <mergeCell ref="G6:G7"/>
    <mergeCell ref="A28:A29"/>
    <mergeCell ref="B28:B29"/>
    <mergeCell ref="C28:C29"/>
    <mergeCell ref="G28:G29"/>
  </mergeCells>
  <pageMargins left="0.23622047244094491" right="0.23622047244094491" top="0.35433070866141736" bottom="0.35433070866141736" header="0.11811023622047245" footer="0.31496062992125984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view="pageBreakPreview" zoomScaleNormal="100" zoomScaleSheetLayoutView="100" workbookViewId="0">
      <selection activeCell="E14" sqref="E14"/>
    </sheetView>
  </sheetViews>
  <sheetFormatPr defaultRowHeight="24" x14ac:dyDescent="0.55000000000000004"/>
  <cols>
    <col min="1" max="1" width="3.140625" style="6" customWidth="1"/>
    <col min="2" max="2" width="9.140625" style="6"/>
    <col min="3" max="3" width="18" style="6" customWidth="1"/>
    <col min="4" max="4" width="6.42578125" style="6" customWidth="1"/>
    <col min="5" max="5" width="8.42578125" style="6" customWidth="1"/>
    <col min="6" max="6" width="9.7109375" style="6" customWidth="1"/>
    <col min="7" max="7" width="0.5703125" style="6" customWidth="1"/>
    <col min="8" max="8" width="11.7109375" style="6" customWidth="1"/>
    <col min="9" max="9" width="10.7109375" style="6" customWidth="1"/>
    <col min="10" max="10" width="0.5703125" style="6" customWidth="1"/>
    <col min="11" max="11" width="11.7109375" style="6" bestFit="1" customWidth="1"/>
    <col min="12" max="12" width="9.140625" style="6"/>
    <col min="13" max="13" width="14.140625" style="6" customWidth="1"/>
    <col min="14" max="16384" width="9.140625" style="6"/>
  </cols>
  <sheetData>
    <row r="1" spans="1:13" ht="26.1" customHeight="1" x14ac:dyDescent="0.55000000000000004">
      <c r="A1" s="720" t="s">
        <v>590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</row>
    <row r="2" spans="1:13" ht="26.1" customHeight="1" x14ac:dyDescent="0.55000000000000004">
      <c r="A2" s="720" t="s">
        <v>107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</row>
    <row r="3" spans="1:13" ht="26.1" customHeight="1" x14ac:dyDescent="0.55000000000000004">
      <c r="A3" s="720" t="s">
        <v>598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</row>
    <row r="4" spans="1:13" ht="26.1" customHeight="1" x14ac:dyDescent="0.55000000000000004">
      <c r="A4" s="499"/>
      <c r="B4" s="499"/>
      <c r="C4" s="499"/>
      <c r="D4" s="499"/>
      <c r="E4" s="499"/>
      <c r="F4" s="499"/>
      <c r="G4" s="499"/>
      <c r="H4" s="499"/>
      <c r="I4" s="499"/>
      <c r="J4" s="499"/>
      <c r="K4" s="499"/>
    </row>
    <row r="5" spans="1:13" s="60" customFormat="1" ht="26.1" customHeight="1" x14ac:dyDescent="0.55000000000000004">
      <c r="A5" s="576" t="s">
        <v>571</v>
      </c>
      <c r="F5" s="711">
        <v>2561</v>
      </c>
      <c r="G5" s="786"/>
      <c r="H5" s="712"/>
      <c r="I5" s="711">
        <v>2560</v>
      </c>
      <c r="J5" s="786"/>
      <c r="K5" s="712"/>
    </row>
    <row r="6" spans="1:13" x14ac:dyDescent="0.55000000000000004">
      <c r="A6" s="630" t="s">
        <v>607</v>
      </c>
      <c r="B6" s="572"/>
      <c r="C6" s="572"/>
      <c r="D6" s="572"/>
      <c r="E6" s="573"/>
      <c r="F6" s="638"/>
      <c r="G6" s="639"/>
      <c r="H6" s="645">
        <v>6846528.2999999998</v>
      </c>
      <c r="I6" s="638"/>
      <c r="J6" s="639"/>
      <c r="K6" s="645">
        <v>9143378.3499999996</v>
      </c>
    </row>
    <row r="7" spans="1:13" x14ac:dyDescent="0.55000000000000004">
      <c r="A7" s="347"/>
      <c r="B7" s="5" t="s">
        <v>66</v>
      </c>
      <c r="C7" s="60"/>
      <c r="D7" s="60"/>
      <c r="E7" s="316"/>
      <c r="F7" s="640"/>
      <c r="G7" s="641">
        <v>0</v>
      </c>
      <c r="H7" s="642"/>
      <c r="I7" s="640"/>
      <c r="J7" s="641">
        <v>0</v>
      </c>
      <c r="K7" s="642"/>
    </row>
    <row r="8" spans="1:13" x14ac:dyDescent="0.55000000000000004">
      <c r="A8" s="631" t="s">
        <v>795</v>
      </c>
      <c r="B8" s="60"/>
      <c r="C8" s="60"/>
      <c r="D8" s="60"/>
      <c r="E8" s="316"/>
      <c r="F8" s="640">
        <f>SUM(G7*25/100)</f>
        <v>0</v>
      </c>
      <c r="G8" s="641"/>
      <c r="H8" s="642"/>
      <c r="I8" s="640">
        <f>SUM(J7*25/100)</f>
        <v>0</v>
      </c>
      <c r="J8" s="641"/>
      <c r="K8" s="642"/>
    </row>
    <row r="9" spans="1:13" x14ac:dyDescent="0.55000000000000004">
      <c r="A9" s="632" t="s">
        <v>32</v>
      </c>
      <c r="B9" s="5" t="s">
        <v>105</v>
      </c>
      <c r="C9" s="60"/>
      <c r="D9" s="60"/>
      <c r="E9" s="316"/>
      <c r="F9" s="640">
        <v>1096008.1399999999</v>
      </c>
      <c r="G9" s="641">
        <f>SUM(G7-F8)</f>
        <v>0</v>
      </c>
      <c r="H9" s="642"/>
      <c r="I9" s="640">
        <v>1033649.95</v>
      </c>
      <c r="J9" s="641">
        <f>SUM(J7-I8)</f>
        <v>0</v>
      </c>
      <c r="K9" s="642"/>
    </row>
    <row r="10" spans="1:13" x14ac:dyDescent="0.55000000000000004">
      <c r="A10" s="633"/>
      <c r="B10" s="5" t="s">
        <v>570</v>
      </c>
      <c r="C10" s="60"/>
      <c r="D10" s="60"/>
      <c r="E10" s="316"/>
      <c r="F10" s="640"/>
      <c r="G10" s="643">
        <v>0</v>
      </c>
      <c r="H10" s="644">
        <f>SUM(G9:G10)</f>
        <v>0</v>
      </c>
      <c r="I10" s="640"/>
      <c r="J10" s="643">
        <v>0</v>
      </c>
      <c r="K10" s="644">
        <f>SUM(J9:J10)</f>
        <v>0</v>
      </c>
    </row>
    <row r="11" spans="1:13" x14ac:dyDescent="0.55000000000000004">
      <c r="A11" s="633"/>
      <c r="B11" s="60"/>
      <c r="C11" s="60"/>
      <c r="D11" s="60"/>
      <c r="E11" s="316"/>
      <c r="F11" s="640"/>
      <c r="G11" s="641"/>
      <c r="H11" s="642">
        <f>SUM(H6+F9)</f>
        <v>7942536.4399999995</v>
      </c>
      <c r="I11" s="640"/>
      <c r="J11" s="641"/>
      <c r="K11" s="642">
        <f>SUM(K6+I9)</f>
        <v>10177028.299999999</v>
      </c>
    </row>
    <row r="12" spans="1:13" x14ac:dyDescent="0.55000000000000004">
      <c r="A12" s="632" t="s">
        <v>27</v>
      </c>
      <c r="B12" s="5" t="s">
        <v>796</v>
      </c>
      <c r="C12" s="60"/>
      <c r="D12" s="60"/>
      <c r="E12" s="316"/>
      <c r="F12" s="640">
        <f>149500+499000</f>
        <v>648500</v>
      </c>
      <c r="G12" s="641"/>
      <c r="H12" s="645"/>
      <c r="I12" s="640">
        <v>3330500</v>
      </c>
      <c r="J12" s="641"/>
      <c r="K12" s="645"/>
    </row>
    <row r="13" spans="1:13" x14ac:dyDescent="0.55000000000000004">
      <c r="A13" s="248"/>
      <c r="B13" s="5" t="s">
        <v>797</v>
      </c>
      <c r="C13" s="60"/>
      <c r="D13" s="60"/>
      <c r="E13" s="316"/>
      <c r="F13" s="640"/>
      <c r="G13" s="641"/>
      <c r="H13" s="645">
        <f>SUM(F12:F12)</f>
        <v>648500</v>
      </c>
      <c r="I13" s="640"/>
      <c r="J13" s="641"/>
      <c r="K13" s="645">
        <f>SUM(I12:I12)</f>
        <v>3330500</v>
      </c>
    </row>
    <row r="14" spans="1:13" ht="24.75" thickBot="1" x14ac:dyDescent="0.6">
      <c r="A14" s="248"/>
      <c r="B14" s="576" t="s">
        <v>794</v>
      </c>
      <c r="C14" s="75"/>
      <c r="D14" s="75"/>
      <c r="E14" s="634"/>
      <c r="F14" s="638"/>
      <c r="G14" s="641"/>
      <c r="H14" s="646">
        <f>SUM(H11-H13)</f>
        <v>7294036.4399999995</v>
      </c>
      <c r="I14" s="638"/>
      <c r="J14" s="641"/>
      <c r="K14" s="646">
        <f>SUM(K11-K13)</f>
        <v>6846528.2999999989</v>
      </c>
    </row>
    <row r="15" spans="1:13" ht="24.75" thickTop="1" x14ac:dyDescent="0.55000000000000004">
      <c r="A15" s="249"/>
      <c r="B15" s="578"/>
      <c r="C15" s="578"/>
      <c r="D15" s="578"/>
      <c r="E15" s="579"/>
      <c r="F15" s="635"/>
      <c r="G15" s="237"/>
      <c r="H15" s="636"/>
      <c r="I15" s="249"/>
      <c r="J15" s="637"/>
      <c r="K15" s="305"/>
    </row>
    <row r="16" spans="1:13" x14ac:dyDescent="0.55000000000000004">
      <c r="M16" s="67"/>
    </row>
    <row r="17" spans="1:8" s="60" customFormat="1" x14ac:dyDescent="0.55000000000000004">
      <c r="A17" s="330" t="s">
        <v>798</v>
      </c>
      <c r="B17" s="330"/>
      <c r="C17" s="330"/>
      <c r="D17" s="330"/>
      <c r="E17" s="330"/>
      <c r="F17" s="330"/>
      <c r="G17" s="330"/>
      <c r="H17" s="330"/>
    </row>
    <row r="18" spans="1:8" s="60" customFormat="1" x14ac:dyDescent="0.55000000000000004">
      <c r="A18" s="762" t="s">
        <v>512</v>
      </c>
      <c r="B18" s="762"/>
      <c r="C18" s="762"/>
      <c r="D18" s="762"/>
      <c r="E18" s="762"/>
      <c r="F18" s="762"/>
      <c r="G18" s="762"/>
      <c r="H18" s="762"/>
    </row>
    <row r="19" spans="1:8" s="60" customFormat="1" x14ac:dyDescent="0.55000000000000004">
      <c r="A19" s="39"/>
      <c r="F19" s="51"/>
    </row>
    <row r="22" spans="1:8" s="9" customFormat="1" ht="23.25" x14ac:dyDescent="0.55000000000000004">
      <c r="A22" s="9" t="s">
        <v>67</v>
      </c>
      <c r="E22" s="9" t="s">
        <v>72</v>
      </c>
      <c r="G22" s="9" t="s">
        <v>68</v>
      </c>
    </row>
    <row r="23" spans="1:8" s="9" customFormat="1" ht="23.25" x14ac:dyDescent="0.55000000000000004">
      <c r="A23" s="9" t="s">
        <v>69</v>
      </c>
      <c r="E23" s="9" t="s">
        <v>73</v>
      </c>
      <c r="G23" s="9" t="s">
        <v>70</v>
      </c>
    </row>
    <row r="24" spans="1:8" s="9" customFormat="1" ht="23.25" x14ac:dyDescent="0.55000000000000004">
      <c r="A24" s="629" t="s">
        <v>79</v>
      </c>
      <c r="B24" s="629"/>
    </row>
    <row r="25" spans="1:8" x14ac:dyDescent="0.55000000000000004">
      <c r="F25" s="148"/>
      <c r="G25" s="148"/>
      <c r="H25" s="148"/>
    </row>
    <row r="26" spans="1:8" x14ac:dyDescent="0.55000000000000004">
      <c r="F26" s="148"/>
      <c r="G26" s="148"/>
      <c r="H26" s="148"/>
    </row>
    <row r="36" spans="1:9" x14ac:dyDescent="0.55000000000000004">
      <c r="I36" s="6" t="s">
        <v>13</v>
      </c>
    </row>
    <row r="37" spans="1:9" x14ac:dyDescent="0.55000000000000004">
      <c r="A37" s="6" t="s">
        <v>34</v>
      </c>
    </row>
    <row r="49" spans="1:1" x14ac:dyDescent="0.55000000000000004">
      <c r="A49" s="6" t="s">
        <v>35</v>
      </c>
    </row>
  </sheetData>
  <mergeCells count="6">
    <mergeCell ref="I5:K5"/>
    <mergeCell ref="A1:K1"/>
    <mergeCell ref="A2:K2"/>
    <mergeCell ref="A3:K3"/>
    <mergeCell ref="A18:H18"/>
    <mergeCell ref="F5:H5"/>
  </mergeCells>
  <pageMargins left="0.38" right="0.38" top="0.94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98"/>
  <sheetViews>
    <sheetView view="pageBreakPreview" topLeftCell="A82" zoomScaleNormal="100" zoomScaleSheetLayoutView="100" workbookViewId="0">
      <selection activeCell="C82" sqref="C82"/>
    </sheetView>
  </sheetViews>
  <sheetFormatPr defaultRowHeight="24" x14ac:dyDescent="0.55000000000000004"/>
  <cols>
    <col min="1" max="1" width="11" style="6" customWidth="1"/>
    <col min="2" max="2" width="22.85546875" style="6" customWidth="1"/>
    <col min="3" max="3" width="38.7109375" style="6" customWidth="1"/>
    <col min="4" max="4" width="15.140625" style="6" customWidth="1"/>
    <col min="5" max="5" width="14.140625" style="6" customWidth="1"/>
    <col min="6" max="6" width="14.7109375" style="6" customWidth="1"/>
    <col min="7" max="7" width="13.140625" style="6" customWidth="1"/>
    <col min="8" max="8" width="12" style="6" customWidth="1"/>
    <col min="9" max="16384" width="9.140625" style="6"/>
  </cols>
  <sheetData>
    <row r="1" spans="1:8" x14ac:dyDescent="0.55000000000000004">
      <c r="A1" s="720" t="s">
        <v>414</v>
      </c>
      <c r="B1" s="720"/>
      <c r="C1" s="720"/>
      <c r="D1" s="720"/>
      <c r="E1" s="720"/>
      <c r="F1" s="720"/>
      <c r="G1" s="720"/>
      <c r="H1" s="720"/>
    </row>
    <row r="2" spans="1:8" x14ac:dyDescent="0.55000000000000004">
      <c r="A2" s="720" t="s">
        <v>107</v>
      </c>
      <c r="B2" s="720"/>
      <c r="C2" s="720"/>
      <c r="D2" s="720"/>
      <c r="E2" s="720"/>
      <c r="F2" s="720"/>
      <c r="G2" s="720"/>
      <c r="H2" s="720"/>
    </row>
    <row r="3" spans="1:8" x14ac:dyDescent="0.55000000000000004">
      <c r="A3" s="720" t="s">
        <v>606</v>
      </c>
      <c r="B3" s="720"/>
      <c r="C3" s="720"/>
      <c r="D3" s="720"/>
      <c r="E3" s="720"/>
      <c r="F3" s="720"/>
      <c r="G3" s="720"/>
      <c r="H3" s="720"/>
    </row>
    <row r="4" spans="1:8" x14ac:dyDescent="0.55000000000000004">
      <c r="A4" s="6" t="s">
        <v>574</v>
      </c>
      <c r="H4" s="297"/>
    </row>
    <row r="5" spans="1:8" x14ac:dyDescent="0.55000000000000004">
      <c r="A5" s="600" t="s">
        <v>661</v>
      </c>
      <c r="H5" s="297" t="s">
        <v>513</v>
      </c>
    </row>
    <row r="6" spans="1:8" x14ac:dyDescent="0.55000000000000004">
      <c r="A6" s="784" t="s">
        <v>422</v>
      </c>
      <c r="B6" s="784" t="s">
        <v>423</v>
      </c>
      <c r="C6" s="784" t="s">
        <v>424</v>
      </c>
      <c r="D6" s="191" t="s">
        <v>15</v>
      </c>
      <c r="E6" s="191" t="s">
        <v>31</v>
      </c>
      <c r="F6" s="191" t="s">
        <v>30</v>
      </c>
      <c r="G6" s="784" t="s">
        <v>26</v>
      </c>
      <c r="H6" s="191" t="s">
        <v>36</v>
      </c>
    </row>
    <row r="7" spans="1:8" x14ac:dyDescent="0.55000000000000004">
      <c r="A7" s="785"/>
      <c r="B7" s="785"/>
      <c r="C7" s="785"/>
      <c r="D7" s="191" t="s">
        <v>545</v>
      </c>
      <c r="E7" s="191" t="s">
        <v>28</v>
      </c>
      <c r="F7" s="191" t="s">
        <v>28</v>
      </c>
      <c r="G7" s="785"/>
      <c r="H7" s="191" t="s">
        <v>37</v>
      </c>
    </row>
    <row r="8" spans="1:8" x14ac:dyDescent="0.55000000000000004">
      <c r="A8" s="46" t="s">
        <v>536</v>
      </c>
      <c r="B8" s="35" t="s">
        <v>546</v>
      </c>
      <c r="C8" s="303" t="s">
        <v>568</v>
      </c>
      <c r="D8" s="304">
        <v>500000</v>
      </c>
      <c r="E8" s="304">
        <v>499000</v>
      </c>
      <c r="F8" s="304">
        <v>499000</v>
      </c>
      <c r="G8" s="55">
        <f>SUM(D8-F8)-1000</f>
        <v>0</v>
      </c>
      <c r="H8" s="55">
        <v>0</v>
      </c>
    </row>
    <row r="9" spans="1:8" x14ac:dyDescent="0.55000000000000004">
      <c r="A9" s="37" t="s">
        <v>493</v>
      </c>
      <c r="B9" s="35"/>
      <c r="C9" s="35" t="s">
        <v>551</v>
      </c>
      <c r="D9" s="55"/>
      <c r="E9" s="55"/>
      <c r="F9" s="55"/>
      <c r="G9" s="55"/>
      <c r="H9" s="55"/>
    </row>
    <row r="10" spans="1:8" x14ac:dyDescent="0.55000000000000004">
      <c r="A10" s="37"/>
      <c r="B10" s="35"/>
      <c r="C10" s="35" t="s">
        <v>549</v>
      </c>
      <c r="D10" s="55"/>
      <c r="E10" s="55"/>
      <c r="F10" s="55"/>
      <c r="G10" s="55"/>
      <c r="H10" s="55"/>
    </row>
    <row r="11" spans="1:8" x14ac:dyDescent="0.55000000000000004">
      <c r="A11" s="38"/>
      <c r="B11" s="36"/>
      <c r="C11" s="36"/>
      <c r="D11" s="306"/>
      <c r="E11" s="306"/>
      <c r="F11" s="306"/>
      <c r="G11" s="307"/>
      <c r="H11" s="306"/>
    </row>
    <row r="12" spans="1:8" x14ac:dyDescent="0.55000000000000004">
      <c r="A12" s="46" t="s">
        <v>536</v>
      </c>
      <c r="B12" s="35" t="s">
        <v>546</v>
      </c>
      <c r="C12" s="310" t="s">
        <v>569</v>
      </c>
      <c r="D12" s="304">
        <v>150000</v>
      </c>
      <c r="E12" s="304">
        <v>149500</v>
      </c>
      <c r="F12" s="304">
        <v>149500</v>
      </c>
      <c r="G12" s="55">
        <f>SUM(D12-F12)-500</f>
        <v>0</v>
      </c>
      <c r="H12" s="55">
        <v>0</v>
      </c>
    </row>
    <row r="13" spans="1:8" x14ac:dyDescent="0.55000000000000004">
      <c r="A13" s="37" t="s">
        <v>493</v>
      </c>
      <c r="B13" s="35"/>
      <c r="C13" s="35" t="s">
        <v>551</v>
      </c>
      <c r="D13" s="55"/>
      <c r="E13" s="55"/>
      <c r="F13" s="55"/>
      <c r="G13" s="55">
        <f>SUM(D13-F13)</f>
        <v>0</v>
      </c>
      <c r="H13" s="55"/>
    </row>
    <row r="14" spans="1:8" x14ac:dyDescent="0.55000000000000004">
      <c r="A14" s="37"/>
      <c r="B14" s="35"/>
      <c r="C14" s="35" t="s">
        <v>549</v>
      </c>
      <c r="D14" s="55"/>
      <c r="E14" s="55"/>
      <c r="F14" s="55"/>
      <c r="G14" s="55">
        <f>SUM(D14-F14)</f>
        <v>0</v>
      </c>
      <c r="H14" s="55"/>
    </row>
    <row r="15" spans="1:8" x14ac:dyDescent="0.55000000000000004">
      <c r="A15" s="38"/>
      <c r="B15" s="305"/>
      <c r="C15" s="35"/>
      <c r="D15" s="55"/>
      <c r="E15" s="55"/>
      <c r="F15" s="55"/>
      <c r="G15" s="306"/>
      <c r="H15" s="55"/>
    </row>
    <row r="16" spans="1:8" x14ac:dyDescent="0.55000000000000004">
      <c r="A16" s="46" t="s">
        <v>536</v>
      </c>
      <c r="B16" s="35" t="s">
        <v>546</v>
      </c>
      <c r="C16" s="310" t="s">
        <v>799</v>
      </c>
      <c r="D16" s="304">
        <v>500000</v>
      </c>
      <c r="E16" s="304">
        <v>495000</v>
      </c>
      <c r="F16" s="304">
        <v>0</v>
      </c>
      <c r="G16" s="647">
        <f>SUM(D16-F16)</f>
        <v>500000</v>
      </c>
      <c r="H16" s="304">
        <f>SUM(D16-E16)</f>
        <v>5000</v>
      </c>
    </row>
    <row r="17" spans="1:8" x14ac:dyDescent="0.55000000000000004">
      <c r="A17" s="37" t="s">
        <v>493</v>
      </c>
      <c r="B17" s="35"/>
      <c r="C17" s="35" t="s">
        <v>800</v>
      </c>
      <c r="D17" s="55"/>
      <c r="E17" s="55"/>
      <c r="F17" s="55"/>
      <c r="G17" s="647">
        <f>SUM(D17-F17)</f>
        <v>0</v>
      </c>
      <c r="H17" s="55"/>
    </row>
    <row r="18" spans="1:8" x14ac:dyDescent="0.55000000000000004">
      <c r="A18" s="37"/>
      <c r="B18" s="35"/>
      <c r="C18" s="35" t="s">
        <v>801</v>
      </c>
      <c r="D18" s="55"/>
      <c r="E18" s="55"/>
      <c r="F18" s="55"/>
      <c r="G18" s="647">
        <f>SUM(D18-F18)</f>
        <v>0</v>
      </c>
      <c r="H18" s="55"/>
    </row>
    <row r="19" spans="1:8" x14ac:dyDescent="0.55000000000000004">
      <c r="A19" s="37"/>
      <c r="B19" s="316"/>
      <c r="C19" s="35"/>
      <c r="D19" s="55"/>
      <c r="E19" s="55"/>
      <c r="F19" s="55"/>
      <c r="G19" s="252">
        <f>SUM(D19-F19)</f>
        <v>0</v>
      </c>
      <c r="H19" s="55"/>
    </row>
    <row r="20" spans="1:8" x14ac:dyDescent="0.55000000000000004">
      <c r="A20" s="38"/>
      <c r="B20" s="36"/>
      <c r="C20" s="36"/>
      <c r="D20" s="306"/>
      <c r="E20" s="306"/>
      <c r="F20" s="306"/>
      <c r="G20" s="648"/>
      <c r="H20" s="306"/>
    </row>
    <row r="21" spans="1:8" x14ac:dyDescent="0.55000000000000004">
      <c r="H21" s="297" t="s">
        <v>236</v>
      </c>
    </row>
    <row r="22" spans="1:8" x14ac:dyDescent="0.55000000000000004">
      <c r="A22" s="784" t="s">
        <v>422</v>
      </c>
      <c r="B22" s="784" t="s">
        <v>423</v>
      </c>
      <c r="C22" s="784" t="s">
        <v>424</v>
      </c>
      <c r="D22" s="191" t="s">
        <v>15</v>
      </c>
      <c r="E22" s="191" t="s">
        <v>31</v>
      </c>
      <c r="F22" s="191" t="s">
        <v>30</v>
      </c>
      <c r="G22" s="784" t="s">
        <v>26</v>
      </c>
      <c r="H22" s="191" t="s">
        <v>36</v>
      </c>
    </row>
    <row r="23" spans="1:8" x14ac:dyDescent="0.55000000000000004">
      <c r="A23" s="785"/>
      <c r="B23" s="785"/>
      <c r="C23" s="785"/>
      <c r="D23" s="191" t="s">
        <v>545</v>
      </c>
      <c r="E23" s="191" t="s">
        <v>28</v>
      </c>
      <c r="F23" s="191" t="s">
        <v>28</v>
      </c>
      <c r="G23" s="785"/>
      <c r="H23" s="649" t="s">
        <v>37</v>
      </c>
    </row>
    <row r="24" spans="1:8" x14ac:dyDescent="0.55000000000000004">
      <c r="A24" s="46" t="s">
        <v>536</v>
      </c>
      <c r="B24" s="35" t="s">
        <v>546</v>
      </c>
      <c r="C24" s="303" t="s">
        <v>802</v>
      </c>
      <c r="D24" s="304">
        <v>380000</v>
      </c>
      <c r="E24" s="304">
        <v>378000</v>
      </c>
      <c r="F24" s="304">
        <v>0</v>
      </c>
      <c r="G24" s="647">
        <f>SUM(D24-F24)</f>
        <v>380000</v>
      </c>
      <c r="H24" s="304">
        <f>SUM(D24-E24)</f>
        <v>2000</v>
      </c>
    </row>
    <row r="25" spans="1:8" x14ac:dyDescent="0.55000000000000004">
      <c r="A25" s="37" t="s">
        <v>493</v>
      </c>
      <c r="B25" s="35"/>
      <c r="C25" s="35" t="s">
        <v>663</v>
      </c>
      <c r="D25" s="55"/>
      <c r="E25" s="55"/>
      <c r="F25" s="55"/>
      <c r="G25" s="647"/>
      <c r="H25" s="55"/>
    </row>
    <row r="26" spans="1:8" x14ac:dyDescent="0.55000000000000004">
      <c r="A26" s="37"/>
      <c r="B26" s="35"/>
      <c r="C26" s="35"/>
      <c r="D26" s="55"/>
      <c r="E26" s="55"/>
      <c r="F26" s="55"/>
      <c r="G26" s="647"/>
      <c r="H26" s="55"/>
    </row>
    <row r="27" spans="1:8" x14ac:dyDescent="0.55000000000000004">
      <c r="A27" s="37"/>
      <c r="B27" s="35"/>
      <c r="C27" s="35"/>
      <c r="D27" s="55"/>
      <c r="E27" s="55"/>
      <c r="F27" s="55"/>
      <c r="G27" s="252"/>
      <c r="H27" s="306"/>
    </row>
    <row r="28" spans="1:8" ht="24.75" thickBot="1" x14ac:dyDescent="0.6">
      <c r="A28" s="711" t="s">
        <v>29</v>
      </c>
      <c r="B28" s="786"/>
      <c r="C28" s="712"/>
      <c r="D28" s="315">
        <f>SUM(D8:D24)</f>
        <v>1530000</v>
      </c>
      <c r="E28" s="315">
        <f>SUM(E8:E24)</f>
        <v>1521500</v>
      </c>
      <c r="F28" s="315">
        <f>SUM(F8:F24)</f>
        <v>648500</v>
      </c>
      <c r="G28" s="315">
        <f>SUM(G8:G24)</f>
        <v>880000</v>
      </c>
      <c r="H28" s="315">
        <f>SUM(H8:H24)</f>
        <v>7000</v>
      </c>
    </row>
    <row r="29" spans="1:8" ht="24.75" thickTop="1" x14ac:dyDescent="0.55000000000000004">
      <c r="H29" s="297"/>
    </row>
    <row r="30" spans="1:8" x14ac:dyDescent="0.55000000000000004">
      <c r="H30" s="297"/>
    </row>
    <row r="31" spans="1:8" x14ac:dyDescent="0.55000000000000004">
      <c r="H31" s="297"/>
    </row>
    <row r="32" spans="1:8" x14ac:dyDescent="0.55000000000000004">
      <c r="H32" s="297"/>
    </row>
    <row r="33" spans="1:90" x14ac:dyDescent="0.55000000000000004">
      <c r="H33" s="297"/>
    </row>
    <row r="34" spans="1:90" x14ac:dyDescent="0.55000000000000004">
      <c r="H34" s="297"/>
    </row>
    <row r="35" spans="1:90" x14ac:dyDescent="0.55000000000000004">
      <c r="H35" s="297"/>
    </row>
    <row r="36" spans="1:90" x14ac:dyDescent="0.55000000000000004">
      <c r="H36" s="297"/>
    </row>
    <row r="37" spans="1:90" x14ac:dyDescent="0.55000000000000004">
      <c r="H37" s="297"/>
    </row>
    <row r="38" spans="1:90" x14ac:dyDescent="0.55000000000000004">
      <c r="H38" s="297"/>
    </row>
    <row r="39" spans="1:90" x14ac:dyDescent="0.55000000000000004">
      <c r="H39" s="297"/>
    </row>
    <row r="40" spans="1:90" x14ac:dyDescent="0.55000000000000004">
      <c r="H40" s="297"/>
    </row>
    <row r="41" spans="1:90" x14ac:dyDescent="0.55000000000000004">
      <c r="A41" s="600" t="s">
        <v>662</v>
      </c>
      <c r="H41" s="297"/>
    </row>
    <row r="42" spans="1:90" x14ac:dyDescent="0.55000000000000004">
      <c r="H42" s="297" t="s">
        <v>513</v>
      </c>
    </row>
    <row r="43" spans="1:90" s="192" customFormat="1" x14ac:dyDescent="0.55000000000000004">
      <c r="A43" s="784" t="s">
        <v>422</v>
      </c>
      <c r="B43" s="784" t="s">
        <v>423</v>
      </c>
      <c r="C43" s="784" t="s">
        <v>424</v>
      </c>
      <c r="D43" s="191" t="s">
        <v>15</v>
      </c>
      <c r="E43" s="191" t="s">
        <v>31</v>
      </c>
      <c r="F43" s="191" t="s">
        <v>30</v>
      </c>
      <c r="G43" s="784" t="s">
        <v>26</v>
      </c>
      <c r="H43" s="191" t="s">
        <v>36</v>
      </c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</row>
    <row r="44" spans="1:90" s="192" customFormat="1" x14ac:dyDescent="0.55000000000000004">
      <c r="A44" s="785"/>
      <c r="B44" s="785"/>
      <c r="C44" s="785"/>
      <c r="D44" s="191" t="s">
        <v>545</v>
      </c>
      <c r="E44" s="191" t="s">
        <v>28</v>
      </c>
      <c r="F44" s="191" t="s">
        <v>28</v>
      </c>
      <c r="G44" s="785"/>
      <c r="H44" s="191" t="s">
        <v>37</v>
      </c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</row>
    <row r="45" spans="1:90" x14ac:dyDescent="0.55000000000000004">
      <c r="A45" s="46" t="s">
        <v>536</v>
      </c>
      <c r="B45" s="35" t="s">
        <v>546</v>
      </c>
      <c r="C45" s="303" t="s">
        <v>547</v>
      </c>
      <c r="D45" s="304">
        <v>490000</v>
      </c>
      <c r="E45" s="304">
        <v>488000</v>
      </c>
      <c r="F45" s="304">
        <v>488000</v>
      </c>
      <c r="G45" s="55">
        <f>SUM(D45-F45)</f>
        <v>2000</v>
      </c>
      <c r="H45" s="55">
        <v>0</v>
      </c>
    </row>
    <row r="46" spans="1:90" x14ac:dyDescent="0.55000000000000004">
      <c r="A46" s="37" t="s">
        <v>493</v>
      </c>
      <c r="B46" s="35"/>
      <c r="C46" s="35" t="s">
        <v>548</v>
      </c>
      <c r="D46" s="55"/>
      <c r="E46" s="55"/>
      <c r="F46" s="55"/>
      <c r="G46" s="55"/>
      <c r="H46" s="55"/>
    </row>
    <row r="47" spans="1:90" x14ac:dyDescent="0.55000000000000004">
      <c r="A47" s="37"/>
      <c r="B47" s="35"/>
      <c r="C47" s="35" t="s">
        <v>549</v>
      </c>
      <c r="D47" s="55"/>
      <c r="E47" s="55"/>
      <c r="F47" s="55"/>
      <c r="G47" s="55"/>
      <c r="H47" s="55"/>
    </row>
    <row r="48" spans="1:90" x14ac:dyDescent="0.55000000000000004">
      <c r="A48" s="38"/>
      <c r="B48" s="36"/>
      <c r="C48" s="305"/>
      <c r="D48" s="306"/>
      <c r="E48" s="306"/>
      <c r="F48" s="306"/>
      <c r="G48" s="307"/>
      <c r="H48" s="306"/>
    </row>
    <row r="49" spans="1:8" x14ac:dyDescent="0.55000000000000004">
      <c r="A49" s="46" t="s">
        <v>536</v>
      </c>
      <c r="B49" s="35" t="s">
        <v>546</v>
      </c>
      <c r="C49" s="303" t="s">
        <v>550</v>
      </c>
      <c r="D49" s="304">
        <v>282000</v>
      </c>
      <c r="E49" s="304">
        <v>280000</v>
      </c>
      <c r="F49" s="304">
        <v>280000</v>
      </c>
      <c r="G49" s="55">
        <f>SUM(D49-F49)</f>
        <v>2000</v>
      </c>
      <c r="H49" s="55">
        <v>0</v>
      </c>
    </row>
    <row r="50" spans="1:8" x14ac:dyDescent="0.55000000000000004">
      <c r="A50" s="37" t="s">
        <v>493</v>
      </c>
      <c r="B50" s="35"/>
      <c r="C50" s="35" t="s">
        <v>551</v>
      </c>
      <c r="D50" s="55"/>
      <c r="E50" s="55"/>
      <c r="F50" s="55"/>
      <c r="G50" s="55">
        <f>SUM(D50-F50)</f>
        <v>0</v>
      </c>
      <c r="H50" s="55"/>
    </row>
    <row r="51" spans="1:8" x14ac:dyDescent="0.55000000000000004">
      <c r="A51" s="37"/>
      <c r="B51" s="35"/>
      <c r="C51" s="35" t="s">
        <v>549</v>
      </c>
      <c r="D51" s="55"/>
      <c r="E51" s="55"/>
      <c r="F51" s="55"/>
      <c r="G51" s="55">
        <f>SUM(D51-F51)</f>
        <v>0</v>
      </c>
      <c r="H51" s="55"/>
    </row>
    <row r="52" spans="1:8" x14ac:dyDescent="0.55000000000000004">
      <c r="A52" s="38"/>
      <c r="B52" s="35"/>
      <c r="C52" s="35"/>
      <c r="D52" s="55"/>
      <c r="E52" s="55"/>
      <c r="F52" s="55"/>
      <c r="G52" s="308">
        <f>SUM(D52-F52)</f>
        <v>0</v>
      </c>
      <c r="H52" s="55"/>
    </row>
    <row r="53" spans="1:8" x14ac:dyDescent="0.55000000000000004">
      <c r="A53" s="46" t="s">
        <v>536</v>
      </c>
      <c r="B53" s="63" t="s">
        <v>546</v>
      </c>
      <c r="C53" s="310" t="s">
        <v>552</v>
      </c>
      <c r="D53" s="304">
        <v>480000</v>
      </c>
      <c r="E53" s="304">
        <v>477000</v>
      </c>
      <c r="F53" s="304">
        <v>477000</v>
      </c>
      <c r="G53" s="304">
        <f>SUM(D53-F53)</f>
        <v>3000</v>
      </c>
      <c r="H53" s="304">
        <v>0</v>
      </c>
    </row>
    <row r="54" spans="1:8" x14ac:dyDescent="0.55000000000000004">
      <c r="A54" s="37" t="s">
        <v>493</v>
      </c>
      <c r="B54" s="35"/>
      <c r="C54" s="35" t="s">
        <v>553</v>
      </c>
      <c r="D54" s="55"/>
      <c r="E54" s="55"/>
      <c r="F54" s="55"/>
      <c r="G54" s="55"/>
      <c r="H54" s="55"/>
    </row>
    <row r="55" spans="1:8" x14ac:dyDescent="0.55000000000000004">
      <c r="A55" s="37"/>
      <c r="B55" s="35"/>
      <c r="C55" s="35" t="s">
        <v>549</v>
      </c>
      <c r="D55" s="55"/>
      <c r="E55" s="55"/>
      <c r="F55" s="55"/>
      <c r="G55" s="55"/>
      <c r="H55" s="55"/>
    </row>
    <row r="56" spans="1:8" x14ac:dyDescent="0.55000000000000004">
      <c r="A56" s="37"/>
      <c r="B56" s="316"/>
      <c r="C56" s="35"/>
      <c r="D56" s="55"/>
      <c r="E56" s="55"/>
      <c r="F56" s="55"/>
      <c r="G56" s="55"/>
      <c r="H56" s="55"/>
    </row>
    <row r="57" spans="1:8" x14ac:dyDescent="0.55000000000000004">
      <c r="A57" s="36"/>
      <c r="B57" s="41"/>
      <c r="C57" s="41"/>
      <c r="D57" s="317"/>
      <c r="E57" s="317"/>
      <c r="F57" s="317"/>
      <c r="G57" s="317"/>
      <c r="H57" s="317"/>
    </row>
    <row r="58" spans="1:8" x14ac:dyDescent="0.55000000000000004">
      <c r="A58" s="60"/>
      <c r="B58" s="468"/>
      <c r="C58" s="468"/>
      <c r="D58" s="601"/>
      <c r="E58" s="601"/>
      <c r="F58" s="601"/>
      <c r="G58" s="601"/>
      <c r="H58" s="601"/>
    </row>
    <row r="59" spans="1:8" x14ac:dyDescent="0.55000000000000004">
      <c r="A59" s="60"/>
      <c r="B59" s="468"/>
      <c r="C59" s="468"/>
      <c r="D59" s="601"/>
      <c r="E59" s="601"/>
      <c r="F59" s="601"/>
      <c r="G59" s="601"/>
      <c r="H59" s="601"/>
    </row>
    <row r="60" spans="1:8" x14ac:dyDescent="0.55000000000000004">
      <c r="A60" s="60"/>
      <c r="B60" s="500"/>
      <c r="C60" s="500"/>
      <c r="D60" s="601"/>
      <c r="E60" s="601"/>
      <c r="F60" s="601"/>
      <c r="G60" s="601"/>
      <c r="H60" s="601"/>
    </row>
    <row r="61" spans="1:8" x14ac:dyDescent="0.55000000000000004">
      <c r="H61" s="297" t="s">
        <v>236</v>
      </c>
    </row>
    <row r="62" spans="1:8" x14ac:dyDescent="0.55000000000000004">
      <c r="A62" s="784" t="s">
        <v>422</v>
      </c>
      <c r="B62" s="784" t="s">
        <v>423</v>
      </c>
      <c r="C62" s="784" t="s">
        <v>424</v>
      </c>
      <c r="D62" s="191" t="s">
        <v>15</v>
      </c>
      <c r="E62" s="191" t="s">
        <v>31</v>
      </c>
      <c r="F62" s="191" t="s">
        <v>30</v>
      </c>
      <c r="G62" s="784" t="s">
        <v>26</v>
      </c>
      <c r="H62" s="191" t="s">
        <v>36</v>
      </c>
    </row>
    <row r="63" spans="1:8" x14ac:dyDescent="0.55000000000000004">
      <c r="A63" s="785"/>
      <c r="B63" s="785"/>
      <c r="C63" s="785"/>
      <c r="D63" s="191" t="s">
        <v>545</v>
      </c>
      <c r="E63" s="191" t="s">
        <v>28</v>
      </c>
      <c r="F63" s="191" t="s">
        <v>28</v>
      </c>
      <c r="G63" s="785"/>
      <c r="H63" s="191" t="s">
        <v>37</v>
      </c>
    </row>
    <row r="64" spans="1:8" x14ac:dyDescent="0.55000000000000004">
      <c r="A64" s="46" t="s">
        <v>536</v>
      </c>
      <c r="B64" s="35" t="s">
        <v>546</v>
      </c>
      <c r="C64" s="303" t="s">
        <v>554</v>
      </c>
      <c r="D64" s="304">
        <v>500000</v>
      </c>
      <c r="E64" s="304">
        <v>497000</v>
      </c>
      <c r="F64" s="304">
        <v>497000</v>
      </c>
      <c r="G64" s="55">
        <f>SUM(D64-F64)</f>
        <v>3000</v>
      </c>
      <c r="H64" s="55"/>
    </row>
    <row r="65" spans="1:8" x14ac:dyDescent="0.55000000000000004">
      <c r="A65" s="37" t="s">
        <v>493</v>
      </c>
      <c r="B65" s="35"/>
      <c r="C65" s="35" t="s">
        <v>555</v>
      </c>
      <c r="D65" s="55"/>
      <c r="E65" s="55"/>
      <c r="F65" s="55"/>
      <c r="G65" s="55"/>
      <c r="H65" s="55"/>
    </row>
    <row r="66" spans="1:8" x14ac:dyDescent="0.55000000000000004">
      <c r="A66" s="37"/>
      <c r="B66" s="35"/>
      <c r="C66" s="35" t="s">
        <v>549</v>
      </c>
      <c r="D66" s="55"/>
      <c r="E66" s="55"/>
      <c r="F66" s="55"/>
      <c r="G66" s="55"/>
      <c r="H66" s="55"/>
    </row>
    <row r="67" spans="1:8" x14ac:dyDescent="0.55000000000000004">
      <c r="A67" s="38"/>
      <c r="B67" s="36"/>
      <c r="C67" s="305"/>
      <c r="D67" s="306"/>
      <c r="E67" s="306"/>
      <c r="F67" s="306"/>
      <c r="G67" s="307"/>
      <c r="H67" s="306"/>
    </row>
    <row r="68" spans="1:8" x14ac:dyDescent="0.55000000000000004">
      <c r="A68" s="46" t="s">
        <v>536</v>
      </c>
      <c r="B68" s="35" t="s">
        <v>546</v>
      </c>
      <c r="C68" s="303" t="s">
        <v>556</v>
      </c>
      <c r="D68" s="304">
        <v>500000</v>
      </c>
      <c r="E68" s="304">
        <v>497000</v>
      </c>
      <c r="F68" s="304">
        <v>497000</v>
      </c>
      <c r="G68" s="55">
        <f>SUM(D68-F68)</f>
        <v>3000</v>
      </c>
      <c r="H68" s="55">
        <v>0</v>
      </c>
    </row>
    <row r="69" spans="1:8" x14ac:dyDescent="0.55000000000000004">
      <c r="A69" s="37" t="s">
        <v>493</v>
      </c>
      <c r="B69" s="35"/>
      <c r="C69" s="35" t="s">
        <v>557</v>
      </c>
      <c r="D69" s="55"/>
      <c r="E69" s="55"/>
      <c r="F69" s="55"/>
      <c r="G69" s="55"/>
      <c r="H69" s="55"/>
    </row>
    <row r="70" spans="1:8" x14ac:dyDescent="0.55000000000000004">
      <c r="A70" s="37"/>
      <c r="B70" s="35"/>
      <c r="C70" s="35" t="s">
        <v>558</v>
      </c>
      <c r="D70" s="55"/>
      <c r="E70" s="55"/>
      <c r="F70" s="55"/>
      <c r="G70" s="55"/>
      <c r="H70" s="55"/>
    </row>
    <row r="71" spans="1:8" x14ac:dyDescent="0.55000000000000004">
      <c r="A71" s="38"/>
      <c r="B71" s="36"/>
      <c r="C71" s="36" t="s">
        <v>549</v>
      </c>
      <c r="D71" s="306"/>
      <c r="E71" s="306"/>
      <c r="F71" s="306"/>
      <c r="G71" s="307"/>
      <c r="H71" s="306"/>
    </row>
    <row r="72" spans="1:8" x14ac:dyDescent="0.55000000000000004">
      <c r="A72" s="309" t="s">
        <v>536</v>
      </c>
      <c r="B72" s="63" t="s">
        <v>546</v>
      </c>
      <c r="C72" s="310" t="s">
        <v>559</v>
      </c>
      <c r="D72" s="304">
        <v>500000</v>
      </c>
      <c r="E72" s="304">
        <v>496500</v>
      </c>
      <c r="F72" s="304">
        <v>496500</v>
      </c>
      <c r="G72" s="304">
        <f>SUM(D72-F72)</f>
        <v>3500</v>
      </c>
      <c r="H72" s="304"/>
    </row>
    <row r="73" spans="1:8" x14ac:dyDescent="0.55000000000000004">
      <c r="A73" s="37" t="s">
        <v>493</v>
      </c>
      <c r="B73" s="35"/>
      <c r="C73" s="35" t="s">
        <v>560</v>
      </c>
      <c r="D73" s="55"/>
      <c r="E73" s="55"/>
      <c r="F73" s="55"/>
      <c r="G73" s="55"/>
      <c r="H73" s="55"/>
    </row>
    <row r="74" spans="1:8" x14ac:dyDescent="0.55000000000000004">
      <c r="A74" s="37"/>
      <c r="B74" s="35"/>
      <c r="C74" s="35" t="s">
        <v>561</v>
      </c>
      <c r="D74" s="55"/>
      <c r="E74" s="55"/>
      <c r="F74" s="55"/>
      <c r="G74" s="55"/>
      <c r="H74" s="55"/>
    </row>
    <row r="75" spans="1:8" s="60" customFormat="1" x14ac:dyDescent="0.55000000000000004">
      <c r="A75" s="37"/>
      <c r="B75" s="35"/>
      <c r="C75" s="35" t="s">
        <v>562</v>
      </c>
      <c r="D75" s="55"/>
      <c r="E75" s="55"/>
      <c r="F75" s="55"/>
      <c r="G75" s="55"/>
      <c r="H75" s="55"/>
    </row>
    <row r="76" spans="1:8" s="60" customFormat="1" x14ac:dyDescent="0.55000000000000004">
      <c r="A76" s="38"/>
      <c r="B76" s="36"/>
      <c r="C76" s="36"/>
      <c r="D76" s="55"/>
      <c r="E76" s="55"/>
      <c r="F76" s="55"/>
      <c r="G76" s="306"/>
      <c r="H76" s="306"/>
    </row>
    <row r="77" spans="1:8" s="60" customFormat="1" x14ac:dyDescent="0.55000000000000004">
      <c r="A77" s="46" t="s">
        <v>536</v>
      </c>
      <c r="B77" s="35" t="s">
        <v>546</v>
      </c>
      <c r="C77" s="303" t="s">
        <v>559</v>
      </c>
      <c r="D77" s="304">
        <v>500000</v>
      </c>
      <c r="E77" s="304">
        <v>496500</v>
      </c>
      <c r="F77" s="304">
        <v>496500</v>
      </c>
      <c r="G77" s="55">
        <f>SUM(D77-F77)</f>
        <v>3500</v>
      </c>
      <c r="H77" s="55"/>
    </row>
    <row r="78" spans="1:8" s="60" customFormat="1" x14ac:dyDescent="0.55000000000000004">
      <c r="A78" s="37" t="s">
        <v>493</v>
      </c>
      <c r="B78" s="35"/>
      <c r="C78" s="35" t="s">
        <v>563</v>
      </c>
      <c r="D78" s="55"/>
      <c r="E78" s="55"/>
      <c r="F78" s="55"/>
      <c r="G78" s="55"/>
      <c r="H78" s="55"/>
    </row>
    <row r="79" spans="1:8" s="60" customFormat="1" x14ac:dyDescent="0.55000000000000004">
      <c r="A79" s="37"/>
      <c r="B79" s="35"/>
      <c r="C79" s="35" t="s">
        <v>564</v>
      </c>
      <c r="D79" s="55"/>
      <c r="E79" s="55"/>
      <c r="F79" s="55"/>
      <c r="G79" s="55"/>
      <c r="H79" s="55"/>
    </row>
    <row r="80" spans="1:8" s="60" customFormat="1" x14ac:dyDescent="0.55000000000000004">
      <c r="A80" s="38"/>
      <c r="B80" s="36"/>
      <c r="C80" s="36"/>
      <c r="D80" s="306"/>
      <c r="E80" s="306"/>
      <c r="F80" s="306"/>
      <c r="G80" s="306"/>
      <c r="H80" s="306"/>
    </row>
    <row r="81" spans="1:8" s="60" customFormat="1" x14ac:dyDescent="0.55000000000000004">
      <c r="A81" s="39"/>
      <c r="D81" s="252"/>
      <c r="E81" s="252"/>
      <c r="F81" s="252"/>
      <c r="G81" s="252"/>
      <c r="H81" s="252"/>
    </row>
    <row r="82" spans="1:8" s="60" customFormat="1" x14ac:dyDescent="0.55000000000000004">
      <c r="A82" s="6"/>
      <c r="B82" s="6"/>
      <c r="C82" s="6"/>
      <c r="D82" s="6"/>
      <c r="E82" s="6"/>
      <c r="F82" s="6"/>
      <c r="G82" s="6"/>
      <c r="H82" s="297" t="s">
        <v>247</v>
      </c>
    </row>
    <row r="83" spans="1:8" s="60" customFormat="1" x14ac:dyDescent="0.55000000000000004">
      <c r="A83" s="784" t="s">
        <v>422</v>
      </c>
      <c r="B83" s="787" t="s">
        <v>423</v>
      </c>
      <c r="C83" s="784" t="s">
        <v>424</v>
      </c>
      <c r="D83" s="191" t="s">
        <v>15</v>
      </c>
      <c r="E83" s="191" t="s">
        <v>31</v>
      </c>
      <c r="F83" s="191" t="s">
        <v>30</v>
      </c>
      <c r="G83" s="784" t="s">
        <v>26</v>
      </c>
      <c r="H83" s="191" t="s">
        <v>36</v>
      </c>
    </row>
    <row r="84" spans="1:8" s="60" customFormat="1" x14ac:dyDescent="0.55000000000000004">
      <c r="A84" s="785"/>
      <c r="B84" s="788"/>
      <c r="C84" s="785"/>
      <c r="D84" s="191" t="s">
        <v>545</v>
      </c>
      <c r="E84" s="191" t="s">
        <v>28</v>
      </c>
      <c r="F84" s="191" t="s">
        <v>28</v>
      </c>
      <c r="G84" s="785"/>
      <c r="H84" s="191" t="s">
        <v>37</v>
      </c>
    </row>
    <row r="85" spans="1:8" s="60" customFormat="1" x14ac:dyDescent="0.55000000000000004">
      <c r="A85" s="46" t="s">
        <v>536</v>
      </c>
      <c r="B85" s="316" t="s">
        <v>546</v>
      </c>
      <c r="C85" s="303" t="s">
        <v>565</v>
      </c>
      <c r="D85" s="304">
        <v>100000</v>
      </c>
      <c r="E85" s="304">
        <v>98500</v>
      </c>
      <c r="F85" s="304">
        <v>98500</v>
      </c>
      <c r="G85" s="55">
        <f t="shared" ref="G85:G95" si="0">SUM(D85-F85)</f>
        <v>1500</v>
      </c>
      <c r="H85" s="55"/>
    </row>
    <row r="86" spans="1:8" s="60" customFormat="1" x14ac:dyDescent="0.55000000000000004">
      <c r="A86" s="37" t="s">
        <v>493</v>
      </c>
      <c r="B86" s="316"/>
      <c r="C86" s="35" t="s">
        <v>566</v>
      </c>
      <c r="D86" s="55"/>
      <c r="E86" s="55"/>
      <c r="F86" s="55"/>
      <c r="G86" s="55">
        <f t="shared" si="0"/>
        <v>0</v>
      </c>
      <c r="H86" s="55"/>
    </row>
    <row r="87" spans="1:8" s="60" customFormat="1" x14ac:dyDescent="0.55000000000000004">
      <c r="A87" s="37"/>
      <c r="B87" s="316"/>
      <c r="C87" s="35" t="s">
        <v>567</v>
      </c>
      <c r="D87" s="55"/>
      <c r="E87" s="55"/>
      <c r="F87" s="55"/>
      <c r="G87" s="55">
        <f t="shared" si="0"/>
        <v>0</v>
      </c>
      <c r="H87" s="55"/>
    </row>
    <row r="88" spans="1:8" s="60" customFormat="1" x14ac:dyDescent="0.55000000000000004">
      <c r="A88" s="38"/>
      <c r="B88" s="305"/>
      <c r="C88" s="305"/>
      <c r="D88" s="306"/>
      <c r="E88" s="306"/>
      <c r="F88" s="306"/>
      <c r="G88" s="307">
        <f t="shared" si="0"/>
        <v>0</v>
      </c>
      <c r="H88" s="306"/>
    </row>
    <row r="89" spans="1:8" s="60" customFormat="1" x14ac:dyDescent="0.55000000000000004">
      <c r="A89" s="46" t="s">
        <v>536</v>
      </c>
      <c r="B89" s="316" t="s">
        <v>546</v>
      </c>
      <c r="C89" s="303" t="s">
        <v>568</v>
      </c>
      <c r="D89" s="304">
        <v>500000</v>
      </c>
      <c r="E89" s="304">
        <v>499000</v>
      </c>
      <c r="F89" s="304">
        <v>0</v>
      </c>
      <c r="G89" s="55">
        <f t="shared" si="0"/>
        <v>500000</v>
      </c>
      <c r="H89" s="55"/>
    </row>
    <row r="90" spans="1:8" s="60" customFormat="1" x14ac:dyDescent="0.55000000000000004">
      <c r="A90" s="37" t="s">
        <v>493</v>
      </c>
      <c r="B90" s="316"/>
      <c r="C90" s="35" t="s">
        <v>551</v>
      </c>
      <c r="D90" s="55"/>
      <c r="E90" s="55"/>
      <c r="F90" s="55"/>
      <c r="G90" s="55">
        <f t="shared" si="0"/>
        <v>0</v>
      </c>
      <c r="H90" s="55"/>
    </row>
    <row r="91" spans="1:8" s="60" customFormat="1" x14ac:dyDescent="0.55000000000000004">
      <c r="A91" s="37"/>
      <c r="B91" s="316"/>
      <c r="C91" s="35" t="s">
        <v>549</v>
      </c>
      <c r="D91" s="55"/>
      <c r="E91" s="55"/>
      <c r="F91" s="55"/>
      <c r="G91" s="55">
        <f t="shared" si="0"/>
        <v>0</v>
      </c>
      <c r="H91" s="55"/>
    </row>
    <row r="92" spans="1:8" s="60" customFormat="1" x14ac:dyDescent="0.55000000000000004">
      <c r="A92" s="38"/>
      <c r="B92" s="305"/>
      <c r="C92" s="36"/>
      <c r="D92" s="306"/>
      <c r="E92" s="306"/>
      <c r="F92" s="306"/>
      <c r="G92" s="307">
        <f t="shared" si="0"/>
        <v>0</v>
      </c>
      <c r="H92" s="306"/>
    </row>
    <row r="93" spans="1:8" s="60" customFormat="1" x14ac:dyDescent="0.55000000000000004">
      <c r="A93" s="46" t="s">
        <v>536</v>
      </c>
      <c r="B93" s="318" t="s">
        <v>546</v>
      </c>
      <c r="C93" s="310" t="s">
        <v>569</v>
      </c>
      <c r="D93" s="304">
        <v>150000</v>
      </c>
      <c r="E93" s="304">
        <v>149500</v>
      </c>
      <c r="F93" s="304">
        <v>0</v>
      </c>
      <c r="G93" s="304">
        <f t="shared" si="0"/>
        <v>150000</v>
      </c>
      <c r="H93" s="304"/>
    </row>
    <row r="94" spans="1:8" s="60" customFormat="1" x14ac:dyDescent="0.55000000000000004">
      <c r="A94" s="37" t="s">
        <v>493</v>
      </c>
      <c r="B94" s="316"/>
      <c r="C94" s="35" t="s">
        <v>551</v>
      </c>
      <c r="D94" s="55"/>
      <c r="E94" s="55"/>
      <c r="F94" s="55"/>
      <c r="G94" s="55">
        <f t="shared" si="0"/>
        <v>0</v>
      </c>
      <c r="H94" s="55"/>
    </row>
    <row r="95" spans="1:8" s="60" customFormat="1" x14ac:dyDescent="0.55000000000000004">
      <c r="A95" s="37"/>
      <c r="B95" s="316"/>
      <c r="C95" s="35" t="s">
        <v>549</v>
      </c>
      <c r="D95" s="55"/>
      <c r="E95" s="55"/>
      <c r="F95" s="55"/>
      <c r="G95" s="55">
        <f t="shared" si="0"/>
        <v>0</v>
      </c>
      <c r="H95" s="55"/>
    </row>
    <row r="96" spans="1:8" s="60" customFormat="1" x14ac:dyDescent="0.55000000000000004">
      <c r="A96" s="38"/>
      <c r="B96" s="305"/>
      <c r="C96" s="36"/>
      <c r="D96" s="55"/>
      <c r="E96" s="55"/>
      <c r="F96" s="55"/>
      <c r="G96" s="306"/>
      <c r="H96" s="306"/>
    </row>
    <row r="97" spans="1:8" ht="24.75" thickBot="1" x14ac:dyDescent="0.6">
      <c r="A97" s="36"/>
      <c r="B97" s="319" t="s">
        <v>29</v>
      </c>
      <c r="C97" s="314"/>
      <c r="D97" s="315">
        <f>SUM(D45:D96)</f>
        <v>4002000</v>
      </c>
      <c r="E97" s="315">
        <f>SUM(E45:E96)</f>
        <v>3979000</v>
      </c>
      <c r="F97" s="315">
        <f>SUM(F45:F96)</f>
        <v>3330500</v>
      </c>
      <c r="G97" s="315">
        <f>SUM(G45:G96)</f>
        <v>671500</v>
      </c>
      <c r="H97" s="331">
        <f>SUM(H64:H96)</f>
        <v>0</v>
      </c>
    </row>
    <row r="98" spans="1:8" ht="24.75" thickTop="1" x14ac:dyDescent="0.55000000000000004"/>
  </sheetData>
  <mergeCells count="24">
    <mergeCell ref="A6:A7"/>
    <mergeCell ref="B6:B7"/>
    <mergeCell ref="C6:C7"/>
    <mergeCell ref="G6:G7"/>
    <mergeCell ref="A62:A63"/>
    <mergeCell ref="B62:B63"/>
    <mergeCell ref="C62:C63"/>
    <mergeCell ref="G62:G63"/>
    <mergeCell ref="A83:A84"/>
    <mergeCell ref="B83:B84"/>
    <mergeCell ref="C83:C84"/>
    <mergeCell ref="G83:G84"/>
    <mergeCell ref="A1:H1"/>
    <mergeCell ref="A2:H2"/>
    <mergeCell ref="A3:H3"/>
    <mergeCell ref="A43:A44"/>
    <mergeCell ref="B43:B44"/>
    <mergeCell ref="C43:C44"/>
    <mergeCell ref="G43:G44"/>
    <mergeCell ref="A22:A23"/>
    <mergeCell ref="B22:B23"/>
    <mergeCell ref="C22:C23"/>
    <mergeCell ref="G22:G23"/>
    <mergeCell ref="A28:C28"/>
  </mergeCells>
  <pageMargins left="0.43" right="0.26" top="0.74803149606299213" bottom="0.74803149606299213" header="0.31496062992125984" footer="0.31496062992125984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tabSelected="1" view="pageBreakPreview" topLeftCell="A226" zoomScale="90" zoomScaleNormal="100" zoomScaleSheetLayoutView="90" workbookViewId="0">
      <selection activeCell="D242" sqref="D242"/>
    </sheetView>
  </sheetViews>
  <sheetFormatPr defaultRowHeight="21.75" x14ac:dyDescent="0.5"/>
  <cols>
    <col min="1" max="1" width="7.28515625" style="43" customWidth="1"/>
    <col min="2" max="2" width="12.85546875" style="43" customWidth="1"/>
    <col min="3" max="3" width="18.42578125" style="43" customWidth="1"/>
    <col min="4" max="4" width="37.7109375" style="43" customWidth="1"/>
    <col min="5" max="5" width="11.28515625" style="1" customWidth="1"/>
    <col min="6" max="16384" width="9.140625" style="43"/>
  </cols>
  <sheetData>
    <row r="1" spans="1:6" x14ac:dyDescent="0.5">
      <c r="A1" s="789" t="s">
        <v>50</v>
      </c>
      <c r="B1" s="789"/>
      <c r="C1" s="789"/>
      <c r="D1" s="789"/>
      <c r="E1" s="789"/>
      <c r="F1" s="1"/>
    </row>
    <row r="2" spans="1:6" x14ac:dyDescent="0.5">
      <c r="A2" s="789" t="s">
        <v>285</v>
      </c>
      <c r="B2" s="789"/>
      <c r="C2" s="789"/>
      <c r="D2" s="789"/>
      <c r="E2" s="789"/>
      <c r="F2" s="1"/>
    </row>
    <row r="3" spans="1:6" x14ac:dyDescent="0.5">
      <c r="A3" s="789" t="s">
        <v>728</v>
      </c>
      <c r="B3" s="789"/>
      <c r="C3" s="789"/>
      <c r="D3" s="789"/>
      <c r="E3" s="789"/>
      <c r="F3" s="1"/>
    </row>
    <row r="4" spans="1:6" x14ac:dyDescent="0.5">
      <c r="A4" s="789" t="s">
        <v>286</v>
      </c>
      <c r="B4" s="789"/>
      <c r="C4" s="789"/>
      <c r="D4" s="789"/>
      <c r="E4" s="789"/>
      <c r="F4" s="1"/>
    </row>
    <row r="5" spans="1:6" x14ac:dyDescent="0.5">
      <c r="A5" s="194" t="s">
        <v>661</v>
      </c>
      <c r="B5" s="194"/>
      <c r="C5" s="5"/>
      <c r="D5" s="195" t="s">
        <v>13</v>
      </c>
      <c r="E5" s="196"/>
      <c r="F5" s="194" t="s">
        <v>729</v>
      </c>
    </row>
    <row r="6" spans="1:6" x14ac:dyDescent="0.5">
      <c r="A6" s="747" t="s">
        <v>287</v>
      </c>
      <c r="B6" s="197" t="s">
        <v>145</v>
      </c>
      <c r="C6" s="747" t="s">
        <v>288</v>
      </c>
      <c r="D6" s="747" t="s">
        <v>289</v>
      </c>
      <c r="E6" s="747" t="s">
        <v>15</v>
      </c>
      <c r="F6" s="791" t="s">
        <v>33</v>
      </c>
    </row>
    <row r="7" spans="1:6" x14ac:dyDescent="0.5">
      <c r="A7" s="748"/>
      <c r="B7" s="198" t="s">
        <v>290</v>
      </c>
      <c r="C7" s="748"/>
      <c r="D7" s="748"/>
      <c r="E7" s="748"/>
      <c r="F7" s="792"/>
    </row>
    <row r="8" spans="1:6" ht="23.25" x14ac:dyDescent="0.55000000000000004">
      <c r="A8" s="233">
        <v>1</v>
      </c>
      <c r="B8" s="202" t="s">
        <v>730</v>
      </c>
      <c r="C8" s="48" t="s">
        <v>315</v>
      </c>
      <c r="D8" s="48" t="s">
        <v>322</v>
      </c>
      <c r="E8" s="213"/>
      <c r="F8" s="213"/>
    </row>
    <row r="9" spans="1:6" ht="23.25" x14ac:dyDescent="0.55000000000000004">
      <c r="A9" s="233"/>
      <c r="B9" s="213"/>
      <c r="C9" s="48" t="s">
        <v>323</v>
      </c>
      <c r="D9" s="48" t="s">
        <v>324</v>
      </c>
      <c r="E9" s="213"/>
      <c r="F9" s="213"/>
    </row>
    <row r="10" spans="1:6" ht="23.25" x14ac:dyDescent="0.55000000000000004">
      <c r="A10" s="233"/>
      <c r="B10" s="213"/>
      <c r="C10" s="48" t="s">
        <v>325</v>
      </c>
      <c r="D10" s="48" t="s">
        <v>326</v>
      </c>
      <c r="E10" s="213"/>
      <c r="F10" s="213"/>
    </row>
    <row r="11" spans="1:6" ht="23.25" x14ac:dyDescent="0.55000000000000004">
      <c r="A11" s="234"/>
      <c r="B11" s="218"/>
      <c r="C11" s="223"/>
      <c r="D11" s="223" t="s">
        <v>327</v>
      </c>
      <c r="E11" s="222">
        <v>8500</v>
      </c>
      <c r="F11" s="218"/>
    </row>
    <row r="12" spans="1:6" ht="23.25" x14ac:dyDescent="0.55000000000000004">
      <c r="A12" s="233">
        <v>2</v>
      </c>
      <c r="B12" s="202">
        <v>22606</v>
      </c>
      <c r="C12" s="155" t="s">
        <v>328</v>
      </c>
      <c r="D12" s="155" t="s">
        <v>329</v>
      </c>
      <c r="E12" s="203"/>
      <c r="F12" s="201"/>
    </row>
    <row r="13" spans="1:6" ht="23.25" x14ac:dyDescent="0.55000000000000004">
      <c r="A13" s="53"/>
      <c r="B13" s="199"/>
      <c r="C13" s="155" t="s">
        <v>330</v>
      </c>
      <c r="D13" s="155" t="s">
        <v>331</v>
      </c>
      <c r="E13" s="203"/>
      <c r="F13" s="201"/>
    </row>
    <row r="14" spans="1:6" ht="23.25" x14ac:dyDescent="0.55000000000000004">
      <c r="A14" s="53"/>
      <c r="B14" s="199"/>
      <c r="C14" s="155" t="s">
        <v>332</v>
      </c>
      <c r="D14" s="155" t="s">
        <v>333</v>
      </c>
      <c r="E14" s="206">
        <v>24750</v>
      </c>
      <c r="F14" s="201"/>
    </row>
    <row r="15" spans="1:6" ht="23.25" x14ac:dyDescent="0.55000000000000004">
      <c r="A15" s="235"/>
      <c r="B15" s="215"/>
      <c r="C15" s="216"/>
      <c r="D15" s="218"/>
      <c r="E15" s="222"/>
      <c r="F15" s="215"/>
    </row>
    <row r="16" spans="1:6" ht="23.25" x14ac:dyDescent="0.5">
      <c r="A16" s="20">
        <v>3</v>
      </c>
      <c r="B16" s="202" t="s">
        <v>345</v>
      </c>
      <c r="C16" s="212" t="s">
        <v>346</v>
      </c>
      <c r="D16" s="155" t="s">
        <v>347</v>
      </c>
      <c r="E16" s="203"/>
      <c r="F16" s="201"/>
    </row>
    <row r="17" spans="1:6" ht="23.25" x14ac:dyDescent="0.5">
      <c r="A17" s="20"/>
      <c r="B17" s="199"/>
      <c r="C17" s="212" t="s">
        <v>348</v>
      </c>
      <c r="D17" s="155" t="s">
        <v>349</v>
      </c>
      <c r="E17" s="203"/>
      <c r="F17" s="201"/>
    </row>
    <row r="18" spans="1:6" ht="23.25" x14ac:dyDescent="0.5">
      <c r="A18" s="20"/>
      <c r="B18" s="199"/>
      <c r="C18" s="212" t="s">
        <v>350</v>
      </c>
      <c r="D18" s="155" t="s">
        <v>351</v>
      </c>
      <c r="E18" s="204">
        <v>20250</v>
      </c>
      <c r="F18" s="201"/>
    </row>
    <row r="19" spans="1:6" ht="23.25" x14ac:dyDescent="0.5">
      <c r="A19" s="13"/>
      <c r="B19" s="200"/>
      <c r="C19" s="208"/>
      <c r="D19" s="208"/>
      <c r="E19" s="208"/>
      <c r="F19" s="207"/>
    </row>
    <row r="20" spans="1:6" ht="23.25" x14ac:dyDescent="0.5">
      <c r="A20" s="12">
        <v>4</v>
      </c>
      <c r="B20" s="202" t="s">
        <v>411</v>
      </c>
      <c r="C20" s="236" t="s">
        <v>352</v>
      </c>
      <c r="D20" s="155" t="s">
        <v>353</v>
      </c>
      <c r="E20" s="203"/>
      <c r="F20" s="602"/>
    </row>
    <row r="21" spans="1:6" ht="23.25" x14ac:dyDescent="0.5">
      <c r="A21" s="20"/>
      <c r="B21" s="199"/>
      <c r="C21" s="236" t="s">
        <v>354</v>
      </c>
      <c r="D21" s="155" t="s">
        <v>355</v>
      </c>
      <c r="E21" s="203"/>
      <c r="F21" s="201"/>
    </row>
    <row r="22" spans="1:6" ht="23.25" x14ac:dyDescent="0.5">
      <c r="A22" s="20"/>
      <c r="B22" s="199"/>
      <c r="C22" s="236" t="s">
        <v>350</v>
      </c>
      <c r="D22" s="205" t="s">
        <v>356</v>
      </c>
      <c r="E22" s="204"/>
      <c r="F22" s="201"/>
    </row>
    <row r="23" spans="1:6" ht="23.25" x14ac:dyDescent="0.5">
      <c r="A23" s="20"/>
      <c r="B23" s="199"/>
      <c r="C23" s="155"/>
      <c r="D23" s="155" t="s">
        <v>357</v>
      </c>
      <c r="E23" s="206">
        <v>74750</v>
      </c>
      <c r="F23" s="201"/>
    </row>
    <row r="24" spans="1:6" ht="23.25" x14ac:dyDescent="0.55000000000000004">
      <c r="A24" s="53"/>
      <c r="B24" s="214"/>
      <c r="C24" s="212"/>
      <c r="D24" s="213" t="s">
        <v>327</v>
      </c>
      <c r="E24" s="217"/>
      <c r="F24" s="214"/>
    </row>
    <row r="25" spans="1:6" ht="23.25" x14ac:dyDescent="0.55000000000000004">
      <c r="A25" s="235"/>
      <c r="B25" s="215"/>
      <c r="C25" s="216"/>
      <c r="D25" s="218"/>
      <c r="E25" s="222"/>
      <c r="F25" s="215"/>
    </row>
    <row r="26" spans="1:6" ht="23.25" x14ac:dyDescent="0.5">
      <c r="A26" s="12">
        <v>5</v>
      </c>
      <c r="B26" s="603">
        <v>22799</v>
      </c>
      <c r="C26" s="604" t="s">
        <v>366</v>
      </c>
      <c r="D26" s="604" t="s">
        <v>367</v>
      </c>
      <c r="E26" s="506"/>
      <c r="F26" s="605"/>
    </row>
    <row r="27" spans="1:6" ht="23.25" x14ac:dyDescent="0.5">
      <c r="A27" s="20"/>
      <c r="B27" s="199"/>
      <c r="C27" s="155" t="s">
        <v>368</v>
      </c>
      <c r="D27" s="155" t="s">
        <v>369</v>
      </c>
      <c r="E27" s="203"/>
      <c r="F27" s="201"/>
    </row>
    <row r="28" spans="1:6" ht="23.25" x14ac:dyDescent="0.5">
      <c r="A28" s="20"/>
      <c r="B28" s="199"/>
      <c r="C28" s="155" t="s">
        <v>370</v>
      </c>
      <c r="D28" s="155" t="s">
        <v>371</v>
      </c>
      <c r="E28" s="204"/>
      <c r="F28" s="201"/>
    </row>
    <row r="29" spans="1:6" ht="23.25" x14ac:dyDescent="0.5">
      <c r="A29" s="20"/>
      <c r="B29" s="199"/>
      <c r="C29" s="155"/>
      <c r="D29" s="155" t="s">
        <v>372</v>
      </c>
      <c r="E29" s="206">
        <v>24850</v>
      </c>
      <c r="F29" s="201"/>
    </row>
    <row r="30" spans="1:6" ht="23.25" x14ac:dyDescent="0.55000000000000004">
      <c r="A30" s="235"/>
      <c r="B30" s="215"/>
      <c r="C30" s="216"/>
      <c r="D30" s="218"/>
      <c r="E30" s="222"/>
      <c r="F30" s="215"/>
    </row>
    <row r="31" spans="1:6" ht="23.25" x14ac:dyDescent="0.55000000000000004">
      <c r="A31" s="26"/>
      <c r="B31" s="220"/>
      <c r="C31" s="195"/>
      <c r="D31" s="5"/>
      <c r="E31" s="228"/>
      <c r="F31" s="220"/>
    </row>
    <row r="32" spans="1:6" ht="23.25" x14ac:dyDescent="0.55000000000000004">
      <c r="A32" s="26"/>
      <c r="B32" s="220"/>
      <c r="C32" s="195"/>
      <c r="D32" s="5"/>
      <c r="E32" s="228"/>
      <c r="F32" s="220"/>
    </row>
    <row r="33" spans="1:7" ht="23.25" x14ac:dyDescent="0.55000000000000004">
      <c r="A33" s="26"/>
      <c r="B33" s="220"/>
      <c r="C33" s="195"/>
      <c r="D33" s="5"/>
      <c r="E33" s="228"/>
      <c r="F33" s="220"/>
      <c r="G33" s="220"/>
    </row>
    <row r="34" spans="1:7" ht="23.25" x14ac:dyDescent="0.55000000000000004">
      <c r="A34" s="26"/>
      <c r="B34" s="220"/>
      <c r="C34" s="195"/>
      <c r="D34" s="5"/>
      <c r="E34" s="228"/>
      <c r="F34" s="471" t="s">
        <v>236</v>
      </c>
    </row>
    <row r="35" spans="1:7" x14ac:dyDescent="0.5">
      <c r="A35" s="747" t="s">
        <v>287</v>
      </c>
      <c r="B35" s="197" t="s">
        <v>145</v>
      </c>
      <c r="C35" s="747" t="s">
        <v>288</v>
      </c>
      <c r="D35" s="747" t="s">
        <v>289</v>
      </c>
      <c r="E35" s="747" t="s">
        <v>15</v>
      </c>
      <c r="F35" s="791" t="s">
        <v>33</v>
      </c>
    </row>
    <row r="36" spans="1:7" x14ac:dyDescent="0.5">
      <c r="A36" s="748"/>
      <c r="B36" s="198" t="s">
        <v>290</v>
      </c>
      <c r="C36" s="748"/>
      <c r="D36" s="748"/>
      <c r="E36" s="748"/>
      <c r="F36" s="792"/>
    </row>
    <row r="37" spans="1:7" ht="23.25" x14ac:dyDescent="0.5">
      <c r="A37" s="20">
        <v>6</v>
      </c>
      <c r="B37" s="202" t="s">
        <v>731</v>
      </c>
      <c r="C37" s="155" t="s">
        <v>346</v>
      </c>
      <c r="D37" s="155" t="s">
        <v>373</v>
      </c>
      <c r="E37" s="203"/>
      <c r="F37" s="201"/>
    </row>
    <row r="38" spans="1:7" ht="23.25" x14ac:dyDescent="0.5">
      <c r="A38" s="20"/>
      <c r="B38" s="199"/>
      <c r="C38" s="155" t="s">
        <v>374</v>
      </c>
      <c r="D38" s="155" t="s">
        <v>375</v>
      </c>
      <c r="E38" s="203"/>
      <c r="F38" s="201"/>
    </row>
    <row r="39" spans="1:7" ht="23.25" x14ac:dyDescent="0.5">
      <c r="A39" s="20"/>
      <c r="B39" s="199"/>
      <c r="C39" s="155" t="s">
        <v>376</v>
      </c>
      <c r="D39" s="155" t="s">
        <v>377</v>
      </c>
      <c r="E39" s="206"/>
      <c r="F39" s="201"/>
    </row>
    <row r="40" spans="1:7" ht="23.25" x14ac:dyDescent="0.5">
      <c r="A40" s="20"/>
      <c r="B40" s="199"/>
      <c r="C40" s="155"/>
      <c r="D40" s="155" t="s">
        <v>365</v>
      </c>
      <c r="E40" s="204">
        <v>7475</v>
      </c>
      <c r="F40" s="201"/>
    </row>
    <row r="41" spans="1:7" ht="23.25" x14ac:dyDescent="0.5">
      <c r="A41" s="13"/>
      <c r="B41" s="200"/>
      <c r="C41" s="209"/>
      <c r="D41" s="209"/>
      <c r="E41" s="210"/>
      <c r="F41" s="207"/>
    </row>
    <row r="42" spans="1:7" ht="23.25" x14ac:dyDescent="0.55000000000000004">
      <c r="A42" s="233">
        <v>7</v>
      </c>
      <c r="B42" s="202" t="s">
        <v>732</v>
      </c>
      <c r="C42" s="48" t="s">
        <v>346</v>
      </c>
      <c r="D42" s="48" t="s">
        <v>733</v>
      </c>
      <c r="E42" s="213"/>
      <c r="F42" s="213"/>
    </row>
    <row r="43" spans="1:7" ht="23.25" x14ac:dyDescent="0.55000000000000004">
      <c r="A43" s="53"/>
      <c r="B43" s="213"/>
      <c r="C43" s="48" t="s">
        <v>379</v>
      </c>
      <c r="D43" s="48" t="s">
        <v>380</v>
      </c>
      <c r="E43" s="213"/>
      <c r="F43" s="213"/>
    </row>
    <row r="44" spans="1:7" ht="23.25" x14ac:dyDescent="0.55000000000000004">
      <c r="A44" s="53"/>
      <c r="B44" s="213"/>
      <c r="C44" s="48" t="s">
        <v>381</v>
      </c>
      <c r="D44" s="48" t="s">
        <v>382</v>
      </c>
      <c r="E44" s="217">
        <v>24950</v>
      </c>
      <c r="F44" s="213"/>
    </row>
    <row r="45" spans="1:7" ht="23.25" x14ac:dyDescent="0.5">
      <c r="A45" s="13"/>
      <c r="B45" s="200"/>
      <c r="C45" s="209"/>
      <c r="D45" s="209"/>
      <c r="E45" s="210"/>
      <c r="F45" s="207"/>
    </row>
    <row r="46" spans="1:7" ht="23.25" x14ac:dyDescent="0.55000000000000004">
      <c r="A46" s="233">
        <v>8</v>
      </c>
      <c r="B46" s="202" t="s">
        <v>734</v>
      </c>
      <c r="C46" s="48" t="s">
        <v>383</v>
      </c>
      <c r="D46" s="48" t="s">
        <v>735</v>
      </c>
      <c r="E46" s="213"/>
      <c r="F46" s="213"/>
    </row>
    <row r="47" spans="1:7" ht="23.25" x14ac:dyDescent="0.55000000000000004">
      <c r="A47" s="53"/>
      <c r="B47" s="213"/>
      <c r="C47" s="48" t="s">
        <v>385</v>
      </c>
      <c r="D47" s="48" t="s">
        <v>736</v>
      </c>
      <c r="E47" s="213"/>
      <c r="F47" s="213"/>
    </row>
    <row r="48" spans="1:7" ht="23.25" x14ac:dyDescent="0.55000000000000004">
      <c r="A48" s="53"/>
      <c r="B48" s="213"/>
      <c r="C48" s="48" t="s">
        <v>387</v>
      </c>
      <c r="D48" s="48" t="s">
        <v>737</v>
      </c>
      <c r="E48" s="213"/>
      <c r="F48" s="213"/>
    </row>
    <row r="49" spans="1:6" ht="23.25" x14ac:dyDescent="0.55000000000000004">
      <c r="A49" s="53"/>
      <c r="B49" s="213"/>
      <c r="C49" s="48"/>
      <c r="D49" s="48" t="s">
        <v>738</v>
      </c>
      <c r="E49" s="217">
        <v>7900</v>
      </c>
      <c r="F49" s="213"/>
    </row>
    <row r="50" spans="1:6" ht="23.25" x14ac:dyDescent="0.55000000000000004">
      <c r="A50" s="235"/>
      <c r="B50" s="218"/>
      <c r="C50" s="223"/>
      <c r="D50" s="223"/>
      <c r="E50" s="218"/>
      <c r="F50" s="218"/>
    </row>
    <row r="51" spans="1:6" ht="23.25" x14ac:dyDescent="0.55000000000000004">
      <c r="A51" s="233">
        <v>9</v>
      </c>
      <c r="B51" s="202" t="s">
        <v>732</v>
      </c>
      <c r="C51" s="48" t="s">
        <v>383</v>
      </c>
      <c r="D51" s="48" t="s">
        <v>390</v>
      </c>
      <c r="E51" s="213"/>
      <c r="F51" s="213"/>
    </row>
    <row r="52" spans="1:6" ht="23.25" x14ac:dyDescent="0.55000000000000004">
      <c r="A52" s="53"/>
      <c r="B52" s="213"/>
      <c r="C52" s="48" t="s">
        <v>391</v>
      </c>
      <c r="D52" s="48" t="s">
        <v>392</v>
      </c>
      <c r="E52" s="213"/>
      <c r="F52" s="213"/>
    </row>
    <row r="53" spans="1:6" ht="23.25" x14ac:dyDescent="0.55000000000000004">
      <c r="A53" s="53"/>
      <c r="B53" s="213"/>
      <c r="C53" s="48" t="s">
        <v>387</v>
      </c>
      <c r="D53" s="48" t="s">
        <v>393</v>
      </c>
      <c r="E53" s="213"/>
      <c r="F53" s="213"/>
    </row>
    <row r="54" spans="1:6" ht="23.25" x14ac:dyDescent="0.55000000000000004">
      <c r="A54" s="53"/>
      <c r="B54" s="213"/>
      <c r="C54" s="48"/>
      <c r="D54" s="48" t="s">
        <v>394</v>
      </c>
      <c r="E54" s="213"/>
      <c r="F54" s="213"/>
    </row>
    <row r="55" spans="1:6" ht="23.25" x14ac:dyDescent="0.55000000000000004">
      <c r="A55" s="235"/>
      <c r="B55" s="218"/>
      <c r="C55" s="223"/>
      <c r="D55" s="223" t="s">
        <v>395</v>
      </c>
      <c r="E55" s="222">
        <v>24900</v>
      </c>
      <c r="F55" s="218"/>
    </row>
    <row r="56" spans="1:6" ht="23.25" x14ac:dyDescent="0.5">
      <c r="A56" s="20">
        <v>10</v>
      </c>
      <c r="B56" s="202" t="s">
        <v>739</v>
      </c>
      <c r="C56" s="155" t="s">
        <v>397</v>
      </c>
      <c r="D56" s="230" t="s">
        <v>398</v>
      </c>
      <c r="E56" s="203"/>
      <c r="F56" s="201"/>
    </row>
    <row r="57" spans="1:6" ht="23.25" x14ac:dyDescent="0.5">
      <c r="A57" s="20"/>
      <c r="B57" s="199"/>
      <c r="C57" s="155" t="s">
        <v>399</v>
      </c>
      <c r="D57" s="155" t="s">
        <v>400</v>
      </c>
      <c r="E57" s="203"/>
      <c r="F57" s="201"/>
    </row>
    <row r="58" spans="1:6" ht="23.25" x14ac:dyDescent="0.5">
      <c r="A58" s="20"/>
      <c r="B58" s="199"/>
      <c r="C58" s="155" t="s">
        <v>401</v>
      </c>
      <c r="D58" s="155" t="s">
        <v>402</v>
      </c>
      <c r="E58" s="206">
        <v>2690</v>
      </c>
      <c r="F58" s="201"/>
    </row>
    <row r="59" spans="1:6" ht="23.25" x14ac:dyDescent="0.5">
      <c r="A59" s="13"/>
      <c r="B59" s="200"/>
      <c r="C59" s="209"/>
      <c r="D59" s="209"/>
      <c r="E59" s="229"/>
      <c r="F59" s="207"/>
    </row>
    <row r="60" spans="1:6" ht="23.25" x14ac:dyDescent="0.5">
      <c r="A60" s="20">
        <v>11</v>
      </c>
      <c r="B60" s="202" t="s">
        <v>739</v>
      </c>
      <c r="C60" s="155" t="s">
        <v>397</v>
      </c>
      <c r="D60" s="155" t="s">
        <v>403</v>
      </c>
      <c r="E60" s="203"/>
      <c r="F60" s="201"/>
    </row>
    <row r="61" spans="1:6" ht="23.25" x14ac:dyDescent="0.5">
      <c r="A61" s="20"/>
      <c r="B61" s="199"/>
      <c r="C61" s="155" t="s">
        <v>404</v>
      </c>
      <c r="D61" s="155" t="s">
        <v>405</v>
      </c>
      <c r="E61" s="203"/>
      <c r="F61" s="201"/>
    </row>
    <row r="62" spans="1:6" ht="23.25" x14ac:dyDescent="0.5">
      <c r="A62" s="20"/>
      <c r="B62" s="199"/>
      <c r="C62" s="155" t="s">
        <v>401</v>
      </c>
      <c r="D62" s="155" t="s">
        <v>406</v>
      </c>
      <c r="E62" s="204">
        <v>2335</v>
      </c>
      <c r="F62" s="201"/>
    </row>
    <row r="63" spans="1:6" ht="23.25" x14ac:dyDescent="0.5">
      <c r="A63" s="13"/>
      <c r="B63" s="200"/>
      <c r="C63" s="209"/>
      <c r="D63" s="209"/>
      <c r="E63" s="229"/>
      <c r="F63" s="207"/>
    </row>
    <row r="64" spans="1:6" ht="23.25" x14ac:dyDescent="0.5">
      <c r="A64" s="355"/>
      <c r="B64" s="471"/>
      <c r="C64" s="436"/>
      <c r="D64" s="436"/>
      <c r="E64" s="606"/>
      <c r="F64" s="607"/>
    </row>
    <row r="65" spans="1:6" ht="23.25" x14ac:dyDescent="0.5">
      <c r="A65" s="355"/>
      <c r="B65" s="471"/>
      <c r="C65" s="436"/>
      <c r="D65" s="436"/>
      <c r="E65" s="606"/>
      <c r="F65" s="607"/>
    </row>
    <row r="66" spans="1:6" ht="23.25" x14ac:dyDescent="0.5">
      <c r="A66" s="355"/>
      <c r="B66" s="471"/>
      <c r="C66" s="436"/>
      <c r="D66" s="436"/>
      <c r="E66" s="606"/>
      <c r="F66" s="471" t="s">
        <v>740</v>
      </c>
    </row>
    <row r="67" spans="1:6" x14ac:dyDescent="0.5">
      <c r="A67" s="790" t="s">
        <v>287</v>
      </c>
      <c r="B67" s="608" t="s">
        <v>145</v>
      </c>
      <c r="C67" s="790" t="s">
        <v>288</v>
      </c>
      <c r="D67" s="790" t="s">
        <v>289</v>
      </c>
      <c r="E67" s="790" t="s">
        <v>15</v>
      </c>
      <c r="F67" s="793" t="s">
        <v>33</v>
      </c>
    </row>
    <row r="68" spans="1:6" x14ac:dyDescent="0.5">
      <c r="A68" s="790"/>
      <c r="B68" s="608" t="s">
        <v>290</v>
      </c>
      <c r="C68" s="790"/>
      <c r="D68" s="790"/>
      <c r="E68" s="790"/>
      <c r="F68" s="793"/>
    </row>
    <row r="69" spans="1:6" ht="23.25" x14ac:dyDescent="0.5">
      <c r="A69" s="20">
        <v>12</v>
      </c>
      <c r="B69" s="202" t="s">
        <v>739</v>
      </c>
      <c r="C69" s="155" t="s">
        <v>397</v>
      </c>
      <c r="D69" s="230" t="s">
        <v>407</v>
      </c>
      <c r="E69" s="203"/>
      <c r="F69" s="201"/>
    </row>
    <row r="70" spans="1:6" ht="23.25" x14ac:dyDescent="0.5">
      <c r="A70" s="20"/>
      <c r="B70" s="199"/>
      <c r="C70" s="155" t="s">
        <v>408</v>
      </c>
      <c r="D70" s="155" t="s">
        <v>409</v>
      </c>
      <c r="E70" s="203"/>
      <c r="F70" s="201"/>
    </row>
    <row r="71" spans="1:6" ht="23.25" x14ac:dyDescent="0.5">
      <c r="A71" s="20"/>
      <c r="B71" s="199"/>
      <c r="C71" s="155" t="s">
        <v>401</v>
      </c>
      <c r="D71" s="155" t="s">
        <v>410</v>
      </c>
      <c r="E71" s="204">
        <v>2400</v>
      </c>
      <c r="F71" s="201"/>
    </row>
    <row r="72" spans="1:6" x14ac:dyDescent="0.5">
      <c r="A72" s="218"/>
      <c r="B72" s="218"/>
      <c r="C72" s="223"/>
      <c r="D72" s="223"/>
      <c r="E72" s="218"/>
      <c r="F72" s="218"/>
    </row>
    <row r="73" spans="1:6" ht="23.25" x14ac:dyDescent="0.5">
      <c r="A73" s="20">
        <v>13</v>
      </c>
      <c r="B73" s="202" t="s">
        <v>741</v>
      </c>
      <c r="C73" s="156" t="s">
        <v>742</v>
      </c>
      <c r="D73" s="155" t="s">
        <v>743</v>
      </c>
      <c r="E73" s="204"/>
      <c r="F73" s="201"/>
    </row>
    <row r="74" spans="1:6" ht="23.25" x14ac:dyDescent="0.5">
      <c r="A74" s="20"/>
      <c r="B74" s="199"/>
      <c r="C74" s="155" t="s">
        <v>744</v>
      </c>
      <c r="D74" s="155" t="s">
        <v>745</v>
      </c>
      <c r="E74" s="204">
        <v>12900</v>
      </c>
      <c r="F74" s="201"/>
    </row>
    <row r="75" spans="1:6" ht="23.25" x14ac:dyDescent="0.5">
      <c r="A75" s="13"/>
      <c r="B75" s="200"/>
      <c r="C75" s="209"/>
      <c r="D75" s="209"/>
      <c r="E75" s="229"/>
      <c r="F75" s="207"/>
    </row>
    <row r="76" spans="1:6" ht="23.25" x14ac:dyDescent="0.5">
      <c r="A76" s="20">
        <v>14</v>
      </c>
      <c r="B76" s="202" t="s">
        <v>746</v>
      </c>
      <c r="C76" s="156" t="s">
        <v>742</v>
      </c>
      <c r="D76" s="155" t="s">
        <v>747</v>
      </c>
      <c r="E76" s="204"/>
      <c r="F76" s="201"/>
    </row>
    <row r="77" spans="1:6" ht="23.25" x14ac:dyDescent="0.5">
      <c r="A77" s="20"/>
      <c r="B77" s="199"/>
      <c r="C77" s="155" t="s">
        <v>744</v>
      </c>
      <c r="D77" s="155" t="s">
        <v>748</v>
      </c>
      <c r="E77" s="204"/>
      <c r="F77" s="201"/>
    </row>
    <row r="78" spans="1:6" ht="23.25" x14ac:dyDescent="0.5">
      <c r="A78" s="20"/>
      <c r="B78" s="609"/>
      <c r="C78" s="155"/>
      <c r="D78" s="610" t="s">
        <v>749</v>
      </c>
      <c r="E78" s="204">
        <v>11200</v>
      </c>
      <c r="F78" s="201"/>
    </row>
    <row r="79" spans="1:6" ht="23.25" x14ac:dyDescent="0.5">
      <c r="A79" s="13"/>
      <c r="B79" s="611"/>
      <c r="C79" s="209"/>
      <c r="D79" s="612"/>
      <c r="E79" s="229"/>
      <c r="F79" s="207"/>
    </row>
    <row r="80" spans="1:6" ht="23.25" x14ac:dyDescent="0.5">
      <c r="A80" s="20">
        <v>15</v>
      </c>
      <c r="B80" s="202" t="s">
        <v>750</v>
      </c>
      <c r="C80" s="156" t="s">
        <v>751</v>
      </c>
      <c r="D80" s="610" t="s">
        <v>484</v>
      </c>
      <c r="E80" s="204"/>
      <c r="F80" s="201"/>
    </row>
    <row r="81" spans="1:6" ht="23.25" x14ac:dyDescent="0.5">
      <c r="A81" s="20"/>
      <c r="B81" s="609"/>
      <c r="C81" s="155" t="s">
        <v>752</v>
      </c>
      <c r="D81" s="610" t="s">
        <v>753</v>
      </c>
      <c r="E81" s="204">
        <v>800</v>
      </c>
      <c r="F81" s="201"/>
    </row>
    <row r="82" spans="1:6" ht="23.25" x14ac:dyDescent="0.5">
      <c r="A82" s="13"/>
      <c r="B82" s="611"/>
      <c r="C82" s="209"/>
      <c r="D82" s="612"/>
      <c r="E82" s="229"/>
      <c r="F82" s="207"/>
    </row>
    <row r="83" spans="1:6" ht="23.25" x14ac:dyDescent="0.5">
      <c r="A83" s="20">
        <v>16</v>
      </c>
      <c r="B83" s="202" t="s">
        <v>754</v>
      </c>
      <c r="C83" s="156" t="s">
        <v>742</v>
      </c>
      <c r="D83" s="610" t="s">
        <v>755</v>
      </c>
      <c r="E83" s="204"/>
      <c r="F83" s="201"/>
    </row>
    <row r="84" spans="1:6" ht="23.25" x14ac:dyDescent="0.5">
      <c r="A84" s="20"/>
      <c r="B84" s="609"/>
      <c r="C84" s="155" t="s">
        <v>756</v>
      </c>
      <c r="D84" s="610" t="s">
        <v>564</v>
      </c>
      <c r="E84" s="204">
        <v>6925</v>
      </c>
      <c r="F84" s="201"/>
    </row>
    <row r="85" spans="1:6" ht="23.25" x14ac:dyDescent="0.5">
      <c r="A85" s="13"/>
      <c r="B85" s="611"/>
      <c r="C85" s="209"/>
      <c r="D85" s="612"/>
      <c r="E85" s="229"/>
      <c r="F85" s="207"/>
    </row>
    <row r="86" spans="1:6" ht="23.25" x14ac:dyDescent="0.5">
      <c r="A86" s="20">
        <v>17</v>
      </c>
      <c r="B86" s="202" t="s">
        <v>757</v>
      </c>
      <c r="C86" s="155" t="s">
        <v>758</v>
      </c>
      <c r="D86" s="610" t="s">
        <v>759</v>
      </c>
      <c r="E86" s="204">
        <v>2475</v>
      </c>
      <c r="F86" s="201"/>
    </row>
    <row r="87" spans="1:6" ht="23.25" x14ac:dyDescent="0.5">
      <c r="A87" s="20"/>
      <c r="B87" s="609"/>
      <c r="C87" s="155" t="s">
        <v>760</v>
      </c>
      <c r="D87" s="610" t="s">
        <v>761</v>
      </c>
      <c r="E87" s="204"/>
      <c r="F87" s="201"/>
    </row>
    <row r="88" spans="1:6" ht="23.25" x14ac:dyDescent="0.5">
      <c r="A88" s="13"/>
      <c r="B88" s="611"/>
      <c r="C88" s="209"/>
      <c r="D88" s="612" t="s">
        <v>762</v>
      </c>
      <c r="E88" s="229"/>
      <c r="F88" s="207"/>
    </row>
    <row r="89" spans="1:6" ht="23.25" x14ac:dyDescent="0.5">
      <c r="A89" s="20">
        <v>18</v>
      </c>
      <c r="B89" s="609"/>
      <c r="C89" s="155" t="s">
        <v>763</v>
      </c>
      <c r="D89" s="610" t="s">
        <v>764</v>
      </c>
      <c r="E89" s="204">
        <v>20000</v>
      </c>
      <c r="F89" s="201"/>
    </row>
    <row r="90" spans="1:6" ht="23.25" x14ac:dyDescent="0.5">
      <c r="A90" s="20"/>
      <c r="B90" s="609"/>
      <c r="C90" s="155" t="s">
        <v>765</v>
      </c>
      <c r="D90" s="610" t="s">
        <v>766</v>
      </c>
      <c r="E90" s="204"/>
      <c r="F90" s="201"/>
    </row>
    <row r="91" spans="1:6" ht="23.25" x14ac:dyDescent="0.5">
      <c r="A91" s="20"/>
      <c r="B91" s="609"/>
      <c r="C91" s="155"/>
      <c r="D91" s="610" t="s">
        <v>767</v>
      </c>
      <c r="E91" s="204"/>
      <c r="F91" s="201"/>
    </row>
    <row r="92" spans="1:6" ht="23.25" x14ac:dyDescent="0.5">
      <c r="A92" s="20"/>
      <c r="B92" s="609"/>
      <c r="C92" s="155"/>
      <c r="D92" s="610" t="s">
        <v>768</v>
      </c>
      <c r="E92" s="204"/>
      <c r="F92" s="201"/>
    </row>
    <row r="93" spans="1:6" ht="23.25" x14ac:dyDescent="0.5">
      <c r="A93" s="13"/>
      <c r="B93" s="611"/>
      <c r="C93" s="209"/>
      <c r="D93" s="612"/>
      <c r="E93" s="229"/>
      <c r="F93" s="207"/>
    </row>
    <row r="94" spans="1:6" ht="23.25" x14ac:dyDescent="0.5">
      <c r="A94" s="20">
        <v>19</v>
      </c>
      <c r="B94" s="609"/>
      <c r="C94" s="155" t="s">
        <v>763</v>
      </c>
      <c r="D94" s="610" t="s">
        <v>769</v>
      </c>
      <c r="E94" s="204">
        <v>6450</v>
      </c>
      <c r="F94" s="201"/>
    </row>
    <row r="95" spans="1:6" ht="23.25" x14ac:dyDescent="0.5">
      <c r="A95" s="20"/>
      <c r="B95" s="609"/>
      <c r="C95" s="155" t="s">
        <v>765</v>
      </c>
      <c r="D95" s="610" t="s">
        <v>770</v>
      </c>
      <c r="E95" s="204"/>
      <c r="F95" s="201"/>
    </row>
    <row r="96" spans="1:6" ht="23.25" x14ac:dyDescent="0.5">
      <c r="A96" s="613"/>
      <c r="B96" s="614"/>
      <c r="C96" s="615"/>
      <c r="D96" s="209" t="s">
        <v>771</v>
      </c>
      <c r="E96" s="616"/>
      <c r="F96" s="617"/>
    </row>
    <row r="97" spans="1:6" ht="23.25" x14ac:dyDescent="0.5">
      <c r="A97" s="618"/>
      <c r="B97" s="619"/>
      <c r="C97" s="620"/>
      <c r="D97" s="436"/>
      <c r="E97" s="621"/>
      <c r="F97" s="622"/>
    </row>
    <row r="98" spans="1:6" ht="23.25" x14ac:dyDescent="0.5">
      <c r="A98" s="355"/>
      <c r="B98" s="471"/>
      <c r="C98" s="436"/>
      <c r="D98" s="436"/>
      <c r="E98" s="606"/>
      <c r="F98" s="471" t="s">
        <v>772</v>
      </c>
    </row>
    <row r="99" spans="1:6" x14ac:dyDescent="0.5">
      <c r="A99" s="790" t="s">
        <v>287</v>
      </c>
      <c r="B99" s="608" t="s">
        <v>145</v>
      </c>
      <c r="C99" s="790" t="s">
        <v>288</v>
      </c>
      <c r="D99" s="790" t="s">
        <v>289</v>
      </c>
      <c r="E99" s="790" t="s">
        <v>15</v>
      </c>
      <c r="F99" s="793" t="s">
        <v>33</v>
      </c>
    </row>
    <row r="100" spans="1:6" x14ac:dyDescent="0.5">
      <c r="A100" s="790"/>
      <c r="B100" s="608" t="s">
        <v>290</v>
      </c>
      <c r="C100" s="790"/>
      <c r="D100" s="790"/>
      <c r="E100" s="790"/>
      <c r="F100" s="793"/>
    </row>
    <row r="101" spans="1:6" ht="23.25" x14ac:dyDescent="0.5">
      <c r="A101" s="20">
        <v>20</v>
      </c>
      <c r="B101" s="609"/>
      <c r="C101" s="155" t="s">
        <v>773</v>
      </c>
      <c r="D101" s="610" t="s">
        <v>774</v>
      </c>
      <c r="E101" s="204">
        <v>24750</v>
      </c>
      <c r="F101" s="201"/>
    </row>
    <row r="102" spans="1:6" ht="23.25" x14ac:dyDescent="0.5">
      <c r="A102" s="20"/>
      <c r="B102" s="609"/>
      <c r="C102" s="155" t="s">
        <v>775</v>
      </c>
      <c r="D102" s="610" t="s">
        <v>776</v>
      </c>
      <c r="E102" s="204"/>
      <c r="F102" s="201"/>
    </row>
    <row r="103" spans="1:6" ht="23.25" x14ac:dyDescent="0.5">
      <c r="A103" s="20"/>
      <c r="B103" s="609"/>
      <c r="C103" s="155"/>
      <c r="D103" s="610" t="s">
        <v>777</v>
      </c>
      <c r="E103" s="204"/>
      <c r="F103" s="201"/>
    </row>
    <row r="104" spans="1:6" ht="23.25" x14ac:dyDescent="0.5">
      <c r="A104" s="20"/>
      <c r="B104" s="609"/>
      <c r="C104" s="155"/>
      <c r="D104" s="610" t="s">
        <v>778</v>
      </c>
      <c r="E104" s="204"/>
      <c r="F104" s="201"/>
    </row>
    <row r="105" spans="1:6" ht="23.25" x14ac:dyDescent="0.5">
      <c r="A105" s="13"/>
      <c r="B105" s="611"/>
      <c r="C105" s="209"/>
      <c r="D105" s="612"/>
      <c r="E105" s="229"/>
      <c r="F105" s="207"/>
    </row>
    <row r="106" spans="1:6" ht="23.25" x14ac:dyDescent="0.5">
      <c r="A106" s="20">
        <v>21</v>
      </c>
      <c r="B106" s="609"/>
      <c r="C106" s="155" t="s">
        <v>773</v>
      </c>
      <c r="D106" s="610" t="s">
        <v>774</v>
      </c>
      <c r="E106" s="204">
        <v>24750</v>
      </c>
      <c r="F106" s="201"/>
    </row>
    <row r="107" spans="1:6" ht="23.25" x14ac:dyDescent="0.5">
      <c r="A107" s="20"/>
      <c r="B107" s="609"/>
      <c r="C107" s="155" t="s">
        <v>775</v>
      </c>
      <c r="D107" s="610" t="s">
        <v>779</v>
      </c>
      <c r="E107" s="204"/>
      <c r="F107" s="201"/>
    </row>
    <row r="108" spans="1:6" ht="23.25" x14ac:dyDescent="0.5">
      <c r="A108" s="20"/>
      <c r="B108" s="609"/>
      <c r="C108" s="155"/>
      <c r="D108" s="610" t="s">
        <v>780</v>
      </c>
      <c r="E108" s="204"/>
      <c r="F108" s="201"/>
    </row>
    <row r="109" spans="1:6" ht="23.25" x14ac:dyDescent="0.5">
      <c r="A109" s="20"/>
      <c r="B109" s="609"/>
      <c r="C109" s="155"/>
      <c r="D109" s="610" t="s">
        <v>778</v>
      </c>
      <c r="E109" s="204"/>
      <c r="F109" s="201"/>
    </row>
    <row r="110" spans="1:6" ht="23.25" x14ac:dyDescent="0.5">
      <c r="A110" s="13"/>
      <c r="B110" s="611"/>
      <c r="C110" s="209"/>
      <c r="D110" s="612"/>
      <c r="E110" s="229"/>
      <c r="F110" s="207"/>
    </row>
    <row r="111" spans="1:6" ht="23.25" x14ac:dyDescent="0.5">
      <c r="A111" s="20">
        <v>22</v>
      </c>
      <c r="B111" s="609"/>
      <c r="C111" s="155" t="s">
        <v>773</v>
      </c>
      <c r="D111" s="610" t="s">
        <v>781</v>
      </c>
      <c r="E111" s="204">
        <v>13850</v>
      </c>
      <c r="F111" s="201"/>
    </row>
    <row r="112" spans="1:6" ht="23.25" x14ac:dyDescent="0.5">
      <c r="A112" s="20"/>
      <c r="B112" s="609"/>
      <c r="C112" s="155" t="s">
        <v>782</v>
      </c>
      <c r="D112" s="610" t="s">
        <v>783</v>
      </c>
      <c r="E112" s="204"/>
      <c r="F112" s="201"/>
    </row>
    <row r="113" spans="1:6" ht="23.25" x14ac:dyDescent="0.5">
      <c r="A113" s="20"/>
      <c r="B113" s="609"/>
      <c r="C113" s="155"/>
      <c r="D113" s="610" t="s">
        <v>784</v>
      </c>
      <c r="E113" s="204"/>
      <c r="F113" s="201"/>
    </row>
    <row r="114" spans="1:6" ht="23.25" x14ac:dyDescent="0.5">
      <c r="A114" s="13"/>
      <c r="B114" s="611"/>
      <c r="C114" s="209"/>
      <c r="D114" s="612"/>
      <c r="E114" s="229"/>
      <c r="F114" s="207"/>
    </row>
    <row r="115" spans="1:6" ht="23.25" x14ac:dyDescent="0.5">
      <c r="A115" s="20">
        <v>23</v>
      </c>
      <c r="B115" s="609"/>
      <c r="C115" s="155" t="s">
        <v>785</v>
      </c>
      <c r="D115" s="610" t="s">
        <v>786</v>
      </c>
      <c r="E115" s="204"/>
      <c r="F115" s="201"/>
    </row>
    <row r="116" spans="1:6" ht="23.25" x14ac:dyDescent="0.5">
      <c r="A116" s="20"/>
      <c r="B116" s="609"/>
      <c r="C116" s="155"/>
      <c r="D116" s="610" t="s">
        <v>787</v>
      </c>
      <c r="E116" s="204">
        <v>18900</v>
      </c>
      <c r="F116" s="201"/>
    </row>
    <row r="117" spans="1:6" ht="23.25" x14ac:dyDescent="0.5">
      <c r="A117" s="20"/>
      <c r="B117" s="609"/>
      <c r="C117" s="155"/>
      <c r="D117" s="610" t="s">
        <v>788</v>
      </c>
      <c r="E117" s="204"/>
      <c r="F117" s="201"/>
    </row>
    <row r="118" spans="1:6" ht="23.25" x14ac:dyDescent="0.5">
      <c r="A118" s="13"/>
      <c r="B118" s="611"/>
      <c r="C118" s="209"/>
      <c r="D118" s="612"/>
      <c r="E118" s="229"/>
      <c r="F118" s="207"/>
    </row>
    <row r="119" spans="1:6" ht="23.25" x14ac:dyDescent="0.5">
      <c r="A119" s="20">
        <v>24</v>
      </c>
      <c r="B119" s="609"/>
      <c r="C119" s="155" t="s">
        <v>789</v>
      </c>
      <c r="D119" s="610" t="s">
        <v>790</v>
      </c>
      <c r="E119" s="204">
        <v>249000</v>
      </c>
      <c r="F119" s="201"/>
    </row>
    <row r="120" spans="1:6" ht="23.25" x14ac:dyDescent="0.5">
      <c r="A120" s="20"/>
      <c r="B120" s="609"/>
      <c r="C120" s="155"/>
      <c r="D120" s="610" t="s">
        <v>791</v>
      </c>
      <c r="E120" s="204"/>
      <c r="F120" s="201"/>
    </row>
    <row r="121" spans="1:6" ht="23.25" x14ac:dyDescent="0.5">
      <c r="A121" s="20"/>
      <c r="B121" s="609"/>
      <c r="C121" s="155"/>
      <c r="D121" s="610" t="s">
        <v>792</v>
      </c>
      <c r="E121" s="204"/>
      <c r="F121" s="201"/>
    </row>
    <row r="122" spans="1:6" ht="23.25" x14ac:dyDescent="0.5">
      <c r="A122" s="20"/>
      <c r="B122" s="609"/>
      <c r="C122" s="155"/>
      <c r="D122" s="610" t="s">
        <v>793</v>
      </c>
      <c r="E122" s="204"/>
      <c r="F122" s="201"/>
    </row>
    <row r="123" spans="1:6" ht="23.25" x14ac:dyDescent="0.5">
      <c r="A123" s="13"/>
      <c r="B123" s="611"/>
      <c r="C123" s="209"/>
      <c r="D123" s="612"/>
      <c r="E123" s="229"/>
      <c r="F123" s="207"/>
    </row>
    <row r="124" spans="1:6" ht="22.5" thickBot="1" x14ac:dyDescent="0.55000000000000004">
      <c r="A124" s="220"/>
      <c r="B124" s="471"/>
      <c r="C124" s="220"/>
      <c r="D124" s="196" t="s">
        <v>14</v>
      </c>
      <c r="E124" s="211">
        <f>SUM(E8:E123)</f>
        <v>617750</v>
      </c>
      <c r="F124" s="5"/>
    </row>
    <row r="125" spans="1:6" ht="22.5" thickTop="1" x14ac:dyDescent="0.5">
      <c r="A125" s="220"/>
      <c r="B125" s="471"/>
      <c r="C125" s="220"/>
      <c r="D125" s="196"/>
      <c r="E125" s="623"/>
      <c r="F125" s="5"/>
    </row>
    <row r="126" spans="1:6" x14ac:dyDescent="0.5">
      <c r="A126" s="220"/>
      <c r="B126" s="471"/>
      <c r="C126" s="220"/>
      <c r="D126" s="196"/>
      <c r="E126" s="623"/>
      <c r="F126" s="5"/>
    </row>
    <row r="127" spans="1:6" x14ac:dyDescent="0.5">
      <c r="A127" s="220"/>
      <c r="B127" s="471"/>
      <c r="C127" s="220"/>
      <c r="D127" s="196"/>
      <c r="E127" s="623"/>
      <c r="F127" s="5"/>
    </row>
    <row r="128" spans="1:6" x14ac:dyDescent="0.5">
      <c r="A128" s="220"/>
      <c r="B128" s="471"/>
      <c r="C128" s="220"/>
      <c r="D128" s="196"/>
      <c r="E128" s="623"/>
      <c r="F128" s="5"/>
    </row>
    <row r="129" spans="1:6" x14ac:dyDescent="0.5">
      <c r="A129" s="220"/>
      <c r="B129" s="471"/>
      <c r="C129" s="220"/>
      <c r="D129" s="196"/>
      <c r="E129" s="623"/>
      <c r="F129" s="5"/>
    </row>
    <row r="130" spans="1:6" x14ac:dyDescent="0.5">
      <c r="A130" s="220"/>
      <c r="B130" s="471"/>
      <c r="C130" s="220"/>
      <c r="D130" s="196"/>
      <c r="E130" s="623"/>
      <c r="F130" s="5"/>
    </row>
    <row r="131" spans="1:6" x14ac:dyDescent="0.5">
      <c r="A131" s="196" t="s">
        <v>662</v>
      </c>
      <c r="B131" s="471"/>
      <c r="C131" s="5"/>
      <c r="D131" s="195" t="s">
        <v>13</v>
      </c>
      <c r="E131" s="196"/>
      <c r="F131" s="471" t="s">
        <v>729</v>
      </c>
    </row>
    <row r="132" spans="1:6" x14ac:dyDescent="0.5">
      <c r="A132" s="747" t="s">
        <v>287</v>
      </c>
      <c r="B132" s="197" t="s">
        <v>145</v>
      </c>
      <c r="C132" s="747" t="s">
        <v>288</v>
      </c>
      <c r="D132" s="747" t="s">
        <v>289</v>
      </c>
      <c r="E132" s="747" t="s">
        <v>15</v>
      </c>
      <c r="F132" s="791" t="s">
        <v>33</v>
      </c>
    </row>
    <row r="133" spans="1:6" x14ac:dyDescent="0.5">
      <c r="A133" s="748"/>
      <c r="B133" s="198" t="s">
        <v>290</v>
      </c>
      <c r="C133" s="748"/>
      <c r="D133" s="748"/>
      <c r="E133" s="748"/>
      <c r="F133" s="792"/>
    </row>
    <row r="134" spans="1:6" ht="23.25" x14ac:dyDescent="0.55000000000000004">
      <c r="A134" s="232">
        <v>1</v>
      </c>
      <c r="B134" s="202">
        <v>22316</v>
      </c>
      <c r="C134" s="212" t="s">
        <v>291</v>
      </c>
      <c r="D134" s="213" t="s">
        <v>292</v>
      </c>
      <c r="E134" s="217"/>
      <c r="F134" s="214"/>
    </row>
    <row r="135" spans="1:6" ht="23.25" x14ac:dyDescent="0.55000000000000004">
      <c r="A135" s="233"/>
      <c r="B135" s="214"/>
      <c r="C135" s="212" t="s">
        <v>293</v>
      </c>
      <c r="D135" s="213" t="s">
        <v>294</v>
      </c>
      <c r="E135" s="217"/>
      <c r="F135" s="214"/>
    </row>
    <row r="136" spans="1:6" ht="23.25" x14ac:dyDescent="0.55000000000000004">
      <c r="A136" s="233"/>
      <c r="B136" s="214"/>
      <c r="C136" s="212" t="s">
        <v>295</v>
      </c>
      <c r="D136" s="213" t="s">
        <v>296</v>
      </c>
      <c r="E136" s="217">
        <v>17100</v>
      </c>
      <c r="F136" s="214"/>
    </row>
    <row r="137" spans="1:6" ht="23.25" x14ac:dyDescent="0.55000000000000004">
      <c r="A137" s="234"/>
      <c r="B137" s="215"/>
      <c r="C137" s="216"/>
      <c r="D137" s="215"/>
      <c r="E137" s="226"/>
      <c r="F137" s="215"/>
    </row>
    <row r="138" spans="1:6" ht="23.25" x14ac:dyDescent="0.55000000000000004">
      <c r="A138" s="233">
        <v>2</v>
      </c>
      <c r="B138" s="202">
        <v>22365</v>
      </c>
      <c r="C138" s="212" t="s">
        <v>297</v>
      </c>
      <c r="D138" s="213" t="s">
        <v>298</v>
      </c>
      <c r="E138" s="217"/>
      <c r="F138" s="201"/>
    </row>
    <row r="139" spans="1:6" ht="23.25" x14ac:dyDescent="0.55000000000000004">
      <c r="A139" s="233"/>
      <c r="B139" s="213"/>
      <c r="C139" s="212" t="s">
        <v>299</v>
      </c>
      <c r="D139" s="213" t="s">
        <v>300</v>
      </c>
      <c r="E139" s="217"/>
      <c r="F139" s="201"/>
    </row>
    <row r="140" spans="1:6" ht="23.25" x14ac:dyDescent="0.55000000000000004">
      <c r="A140" s="53"/>
      <c r="B140" s="213"/>
      <c r="C140" s="212" t="s">
        <v>301</v>
      </c>
      <c r="D140" s="213" t="s">
        <v>302</v>
      </c>
      <c r="E140" s="217">
        <v>4050</v>
      </c>
      <c r="F140" s="201"/>
    </row>
    <row r="141" spans="1:6" ht="23.25" x14ac:dyDescent="0.55000000000000004">
      <c r="A141" s="53"/>
      <c r="B141" s="213"/>
      <c r="C141" s="212"/>
      <c r="D141" s="213" t="s">
        <v>303</v>
      </c>
      <c r="E141" s="217"/>
      <c r="F141" s="201"/>
    </row>
    <row r="142" spans="1:6" ht="23.25" x14ac:dyDescent="0.55000000000000004">
      <c r="A142" s="235"/>
      <c r="B142" s="215"/>
      <c r="C142" s="215"/>
      <c r="D142" s="218"/>
      <c r="E142" s="226"/>
      <c r="F142" s="215"/>
    </row>
    <row r="143" spans="1:6" ht="23.25" x14ac:dyDescent="0.55000000000000004">
      <c r="A143" s="233">
        <v>3</v>
      </c>
      <c r="B143" s="202">
        <v>22375</v>
      </c>
      <c r="C143" s="212" t="s">
        <v>297</v>
      </c>
      <c r="D143" s="155" t="s">
        <v>304</v>
      </c>
      <c r="E143" s="203"/>
      <c r="F143" s="201"/>
    </row>
    <row r="144" spans="1:6" ht="23.25" x14ac:dyDescent="0.55000000000000004">
      <c r="A144" s="233"/>
      <c r="B144" s="199"/>
      <c r="C144" s="212" t="s">
        <v>305</v>
      </c>
      <c r="D144" s="155" t="s">
        <v>306</v>
      </c>
      <c r="E144" s="203"/>
      <c r="F144" s="201"/>
    </row>
    <row r="145" spans="1:6" ht="23.25" x14ac:dyDescent="0.55000000000000004">
      <c r="A145" s="233"/>
      <c r="B145" s="199"/>
      <c r="C145" s="212" t="s">
        <v>307</v>
      </c>
      <c r="D145" s="155" t="s">
        <v>308</v>
      </c>
      <c r="E145" s="203"/>
      <c r="F145" s="201"/>
    </row>
    <row r="146" spans="1:6" ht="23.25" x14ac:dyDescent="0.55000000000000004">
      <c r="A146" s="233"/>
      <c r="B146" s="199"/>
      <c r="C146" s="203"/>
      <c r="D146" s="155" t="s">
        <v>309</v>
      </c>
      <c r="E146" s="204">
        <v>11350</v>
      </c>
      <c r="F146" s="201"/>
    </row>
    <row r="147" spans="1:6" ht="23.25" x14ac:dyDescent="0.55000000000000004">
      <c r="A147" s="233"/>
      <c r="B147" s="200"/>
      <c r="C147" s="208"/>
      <c r="D147" s="209"/>
      <c r="E147" s="229"/>
      <c r="F147" s="215"/>
    </row>
    <row r="148" spans="1:6" ht="23.25" x14ac:dyDescent="0.55000000000000004">
      <c r="A148" s="232">
        <v>4</v>
      </c>
      <c r="B148" s="202">
        <v>22375</v>
      </c>
      <c r="C148" s="212" t="s">
        <v>297</v>
      </c>
      <c r="D148" s="230" t="s">
        <v>310</v>
      </c>
      <c r="E148" s="203"/>
      <c r="F148" s="201"/>
    </row>
    <row r="149" spans="1:6" ht="23.25" x14ac:dyDescent="0.55000000000000004">
      <c r="A149" s="53"/>
      <c r="B149" s="199"/>
      <c r="C149" s="212" t="s">
        <v>311</v>
      </c>
      <c r="D149" s="230" t="s">
        <v>312</v>
      </c>
      <c r="E149" s="203"/>
      <c r="F149" s="201"/>
    </row>
    <row r="150" spans="1:6" ht="23.25" x14ac:dyDescent="0.55000000000000004">
      <c r="A150" s="53"/>
      <c r="B150" s="199"/>
      <c r="C150" s="212" t="s">
        <v>307</v>
      </c>
      <c r="D150" s="231" t="s">
        <v>313</v>
      </c>
      <c r="E150" s="204"/>
      <c r="F150" s="201"/>
    </row>
    <row r="151" spans="1:6" ht="23.25" x14ac:dyDescent="0.55000000000000004">
      <c r="A151" s="233"/>
      <c r="B151" s="199"/>
      <c r="C151" s="155"/>
      <c r="D151" s="230" t="s">
        <v>314</v>
      </c>
      <c r="E151" s="206">
        <v>18100</v>
      </c>
      <c r="F151" s="201"/>
    </row>
    <row r="152" spans="1:6" ht="23.25" x14ac:dyDescent="0.55000000000000004">
      <c r="A152" s="234"/>
      <c r="B152" s="215"/>
      <c r="C152" s="219"/>
      <c r="D152" s="216"/>
      <c r="E152" s="222"/>
      <c r="F152" s="215"/>
    </row>
    <row r="153" spans="1:6" ht="23.25" x14ac:dyDescent="0.55000000000000004">
      <c r="A153" s="233">
        <v>5</v>
      </c>
      <c r="B153" s="202">
        <v>22389</v>
      </c>
      <c r="C153" s="155" t="s">
        <v>315</v>
      </c>
      <c r="D153" s="230" t="s">
        <v>316</v>
      </c>
      <c r="E153" s="203"/>
      <c r="F153" s="201"/>
    </row>
    <row r="154" spans="1:6" ht="23.25" x14ac:dyDescent="0.55000000000000004">
      <c r="A154" s="53"/>
      <c r="B154" s="199"/>
      <c r="C154" s="155" t="s">
        <v>317</v>
      </c>
      <c r="D154" s="230" t="s">
        <v>318</v>
      </c>
      <c r="E154" s="203"/>
      <c r="F154" s="201"/>
    </row>
    <row r="155" spans="1:6" ht="23.25" x14ac:dyDescent="0.55000000000000004">
      <c r="A155" s="53"/>
      <c r="B155" s="199"/>
      <c r="C155" s="155" t="s">
        <v>319</v>
      </c>
      <c r="D155" s="230" t="s">
        <v>320</v>
      </c>
      <c r="E155" s="203"/>
      <c r="F155" s="201"/>
    </row>
    <row r="156" spans="1:6" ht="23.25" x14ac:dyDescent="0.55000000000000004">
      <c r="A156" s="53"/>
      <c r="B156" s="199"/>
      <c r="C156" s="155"/>
      <c r="D156" s="155" t="s">
        <v>303</v>
      </c>
      <c r="E156" s="204">
        <v>52480</v>
      </c>
      <c r="F156" s="201"/>
    </row>
    <row r="157" spans="1:6" ht="23.25" x14ac:dyDescent="0.55000000000000004">
      <c r="A157" s="235"/>
      <c r="B157" s="215"/>
      <c r="C157" s="216"/>
      <c r="D157" s="218"/>
      <c r="E157" s="222"/>
      <c r="F157" s="215"/>
    </row>
    <row r="158" spans="1:6" ht="23.25" x14ac:dyDescent="0.55000000000000004">
      <c r="A158" s="233">
        <v>6</v>
      </c>
      <c r="B158" s="202">
        <v>22536</v>
      </c>
      <c r="C158" s="48" t="s">
        <v>315</v>
      </c>
      <c r="D158" s="48" t="s">
        <v>322</v>
      </c>
      <c r="E158" s="213"/>
      <c r="F158" s="213"/>
    </row>
    <row r="159" spans="1:6" ht="23.25" x14ac:dyDescent="0.55000000000000004">
      <c r="A159" s="233"/>
      <c r="B159" s="213"/>
      <c r="C159" s="48" t="s">
        <v>323</v>
      </c>
      <c r="D159" s="48" t="s">
        <v>324</v>
      </c>
      <c r="E159" s="213"/>
      <c r="F159" s="213"/>
    </row>
    <row r="160" spans="1:6" ht="23.25" x14ac:dyDescent="0.55000000000000004">
      <c r="A160" s="233"/>
      <c r="B160" s="213"/>
      <c r="C160" s="48" t="s">
        <v>325</v>
      </c>
      <c r="D160" s="48" t="s">
        <v>326</v>
      </c>
      <c r="E160" s="213"/>
      <c r="F160" s="213"/>
    </row>
    <row r="161" spans="1:6" ht="23.25" x14ac:dyDescent="0.55000000000000004">
      <c r="A161" s="233"/>
      <c r="B161" s="213"/>
      <c r="C161" s="48"/>
      <c r="D161" s="48" t="s">
        <v>327</v>
      </c>
      <c r="E161" s="217">
        <v>8500</v>
      </c>
      <c r="F161" s="213"/>
    </row>
    <row r="162" spans="1:6" ht="23.25" x14ac:dyDescent="0.55000000000000004">
      <c r="A162" s="234"/>
      <c r="B162" s="215"/>
      <c r="C162" s="216"/>
      <c r="D162" s="218"/>
      <c r="E162" s="222"/>
      <c r="F162" s="215"/>
    </row>
    <row r="163" spans="1:6" x14ac:dyDescent="0.5">
      <c r="A163" s="220"/>
      <c r="B163" s="220"/>
      <c r="C163" s="220"/>
      <c r="D163" s="5"/>
      <c r="E163" s="227"/>
      <c r="F163" s="471" t="s">
        <v>321</v>
      </c>
    </row>
    <row r="164" spans="1:6" x14ac:dyDescent="0.5">
      <c r="A164" s="747" t="s">
        <v>287</v>
      </c>
      <c r="B164" s="197" t="s">
        <v>145</v>
      </c>
      <c r="C164" s="747" t="s">
        <v>288</v>
      </c>
      <c r="D164" s="747" t="s">
        <v>289</v>
      </c>
      <c r="E164" s="747" t="s">
        <v>15</v>
      </c>
      <c r="F164" s="791" t="s">
        <v>33</v>
      </c>
    </row>
    <row r="165" spans="1:6" x14ac:dyDescent="0.5">
      <c r="A165" s="748"/>
      <c r="B165" s="198" t="s">
        <v>290</v>
      </c>
      <c r="C165" s="748"/>
      <c r="D165" s="748"/>
      <c r="E165" s="748"/>
      <c r="F165" s="792"/>
    </row>
    <row r="166" spans="1:6" ht="23.25" x14ac:dyDescent="0.55000000000000004">
      <c r="A166" s="233">
        <v>7</v>
      </c>
      <c r="B166" s="202">
        <v>22606</v>
      </c>
      <c r="C166" s="155" t="s">
        <v>328</v>
      </c>
      <c r="D166" s="155" t="s">
        <v>329</v>
      </c>
      <c r="E166" s="203"/>
      <c r="F166" s="201"/>
    </row>
    <row r="167" spans="1:6" ht="23.25" x14ac:dyDescent="0.55000000000000004">
      <c r="A167" s="53"/>
      <c r="B167" s="199"/>
      <c r="C167" s="155" t="s">
        <v>330</v>
      </c>
      <c r="D167" s="155" t="s">
        <v>331</v>
      </c>
      <c r="E167" s="203"/>
      <c r="F167" s="201"/>
    </row>
    <row r="168" spans="1:6" ht="23.25" x14ac:dyDescent="0.55000000000000004">
      <c r="A168" s="53"/>
      <c r="B168" s="199"/>
      <c r="C168" s="155" t="s">
        <v>332</v>
      </c>
      <c r="D168" s="155" t="s">
        <v>333</v>
      </c>
      <c r="E168" s="206">
        <v>24750</v>
      </c>
      <c r="F168" s="201"/>
    </row>
    <row r="169" spans="1:6" ht="23.25" x14ac:dyDescent="0.55000000000000004">
      <c r="A169" s="53"/>
      <c r="B169" s="214"/>
      <c r="C169" s="212"/>
      <c r="D169" s="213"/>
      <c r="E169" s="217"/>
      <c r="F169" s="214"/>
    </row>
    <row r="170" spans="1:6" ht="23.25" x14ac:dyDescent="0.55000000000000004">
      <c r="A170" s="235"/>
      <c r="B170" s="215"/>
      <c r="C170" s="216"/>
      <c r="D170" s="218"/>
      <c r="E170" s="222"/>
      <c r="F170" s="215"/>
    </row>
    <row r="171" spans="1:6" ht="23.25" x14ac:dyDescent="0.55000000000000004">
      <c r="A171" s="233">
        <v>8</v>
      </c>
      <c r="B171" s="202">
        <v>22215</v>
      </c>
      <c r="C171" s="155" t="s">
        <v>334</v>
      </c>
      <c r="D171" s="155" t="s">
        <v>335</v>
      </c>
      <c r="E171" s="203"/>
      <c r="F171" s="201"/>
    </row>
    <row r="172" spans="1:6" ht="23.25" x14ac:dyDescent="0.55000000000000004">
      <c r="A172" s="53"/>
      <c r="B172" s="199"/>
      <c r="C172" s="155" t="s">
        <v>336</v>
      </c>
      <c r="D172" s="155" t="s">
        <v>337</v>
      </c>
      <c r="E172" s="203"/>
      <c r="F172" s="201"/>
    </row>
    <row r="173" spans="1:6" ht="23.25" x14ac:dyDescent="0.55000000000000004">
      <c r="A173" s="53"/>
      <c r="B173" s="199"/>
      <c r="C173" s="155" t="s">
        <v>338</v>
      </c>
      <c r="D173" s="155" t="s">
        <v>339</v>
      </c>
      <c r="E173" s="204">
        <v>675</v>
      </c>
      <c r="F173" s="201"/>
    </row>
    <row r="174" spans="1:6" ht="23.25" x14ac:dyDescent="0.55000000000000004">
      <c r="A174" s="53"/>
      <c r="B174" s="214"/>
      <c r="C174" s="212"/>
      <c r="D174" s="213"/>
      <c r="E174" s="217"/>
      <c r="F174" s="214"/>
    </row>
    <row r="175" spans="1:6" ht="23.25" x14ac:dyDescent="0.55000000000000004">
      <c r="A175" s="235"/>
      <c r="B175" s="215"/>
      <c r="C175" s="216"/>
      <c r="D175" s="218"/>
      <c r="E175" s="222"/>
      <c r="F175" s="215"/>
    </row>
    <row r="176" spans="1:6" ht="23.25" x14ac:dyDescent="0.55000000000000004">
      <c r="A176" s="233">
        <v>9</v>
      </c>
      <c r="B176" s="202">
        <v>22201</v>
      </c>
      <c r="C176" s="155" t="s">
        <v>328</v>
      </c>
      <c r="D176" s="230" t="s">
        <v>340</v>
      </c>
      <c r="E176" s="203"/>
      <c r="F176" s="201"/>
    </row>
    <row r="177" spans="1:6" ht="23.25" x14ac:dyDescent="0.55000000000000004">
      <c r="A177" s="53"/>
      <c r="B177" s="199"/>
      <c r="C177" s="155" t="s">
        <v>341</v>
      </c>
      <c r="D177" s="155" t="s">
        <v>342</v>
      </c>
      <c r="E177" s="203"/>
      <c r="F177" s="201"/>
    </row>
    <row r="178" spans="1:6" ht="23.25" x14ac:dyDescent="0.55000000000000004">
      <c r="A178" s="53"/>
      <c r="B178" s="199"/>
      <c r="C178" s="155" t="s">
        <v>343</v>
      </c>
      <c r="D178" s="155" t="s">
        <v>344</v>
      </c>
      <c r="E178" s="206">
        <v>9950</v>
      </c>
      <c r="F178" s="201"/>
    </row>
    <row r="179" spans="1:6" ht="23.25" x14ac:dyDescent="0.55000000000000004">
      <c r="A179" s="235"/>
      <c r="B179" s="218"/>
      <c r="C179" s="216"/>
      <c r="D179" s="218"/>
      <c r="E179" s="222"/>
      <c r="F179" s="207"/>
    </row>
    <row r="180" spans="1:6" ht="23.25" x14ac:dyDescent="0.5">
      <c r="A180" s="20">
        <v>10</v>
      </c>
      <c r="B180" s="202" t="s">
        <v>345</v>
      </c>
      <c r="C180" s="212" t="s">
        <v>346</v>
      </c>
      <c r="D180" s="155" t="s">
        <v>347</v>
      </c>
      <c r="E180" s="203"/>
      <c r="F180" s="201"/>
    </row>
    <row r="181" spans="1:6" ht="23.25" x14ac:dyDescent="0.5">
      <c r="A181" s="20"/>
      <c r="B181" s="199"/>
      <c r="C181" s="212" t="s">
        <v>348</v>
      </c>
      <c r="D181" s="155" t="s">
        <v>349</v>
      </c>
      <c r="E181" s="203"/>
      <c r="F181" s="201"/>
    </row>
    <row r="182" spans="1:6" ht="23.25" x14ac:dyDescent="0.5">
      <c r="A182" s="20"/>
      <c r="B182" s="199"/>
      <c r="C182" s="212" t="s">
        <v>350</v>
      </c>
      <c r="D182" s="155" t="s">
        <v>351</v>
      </c>
      <c r="E182" s="204">
        <v>20250</v>
      </c>
      <c r="F182" s="201"/>
    </row>
    <row r="183" spans="1:6" ht="23.25" x14ac:dyDescent="0.5">
      <c r="A183" s="20"/>
      <c r="B183" s="199"/>
      <c r="C183" s="203"/>
      <c r="D183" s="155"/>
      <c r="E183" s="204"/>
      <c r="F183" s="201"/>
    </row>
    <row r="184" spans="1:6" ht="23.25" x14ac:dyDescent="0.5">
      <c r="A184" s="13"/>
      <c r="B184" s="200"/>
      <c r="C184" s="208"/>
      <c r="D184" s="208"/>
      <c r="E184" s="208"/>
      <c r="F184" s="207"/>
    </row>
    <row r="185" spans="1:6" ht="23.25" x14ac:dyDescent="0.5">
      <c r="A185" s="20">
        <v>11</v>
      </c>
      <c r="B185" s="202" t="s">
        <v>411</v>
      </c>
      <c r="C185" s="236" t="s">
        <v>352</v>
      </c>
      <c r="D185" s="155" t="s">
        <v>353</v>
      </c>
      <c r="E185" s="203"/>
      <c r="F185" s="201"/>
    </row>
    <row r="186" spans="1:6" ht="23.25" x14ac:dyDescent="0.5">
      <c r="A186" s="20"/>
      <c r="B186" s="199"/>
      <c r="C186" s="236" t="s">
        <v>354</v>
      </c>
      <c r="D186" s="155" t="s">
        <v>355</v>
      </c>
      <c r="E186" s="203"/>
      <c r="F186" s="201"/>
    </row>
    <row r="187" spans="1:6" ht="23.25" x14ac:dyDescent="0.5">
      <c r="A187" s="20"/>
      <c r="B187" s="199"/>
      <c r="C187" s="236" t="s">
        <v>350</v>
      </c>
      <c r="D187" s="205" t="s">
        <v>356</v>
      </c>
      <c r="E187" s="204"/>
      <c r="F187" s="201"/>
    </row>
    <row r="188" spans="1:6" ht="23.25" x14ac:dyDescent="0.5">
      <c r="A188" s="20"/>
      <c r="B188" s="199"/>
      <c r="C188" s="155"/>
      <c r="D188" s="155" t="s">
        <v>357</v>
      </c>
      <c r="E188" s="206">
        <v>74750</v>
      </c>
      <c r="F188" s="201"/>
    </row>
    <row r="189" spans="1:6" ht="23.25" x14ac:dyDescent="0.55000000000000004">
      <c r="A189" s="235"/>
      <c r="B189" s="215"/>
      <c r="C189" s="216"/>
      <c r="D189" s="218" t="s">
        <v>327</v>
      </c>
      <c r="E189" s="222"/>
      <c r="F189" s="215"/>
    </row>
    <row r="190" spans="1:6" ht="23.25" x14ac:dyDescent="0.5">
      <c r="A190" s="20">
        <v>12</v>
      </c>
      <c r="B190" s="202">
        <v>22308</v>
      </c>
      <c r="C190" s="155" t="s">
        <v>359</v>
      </c>
      <c r="D190" s="155" t="s">
        <v>360</v>
      </c>
      <c r="E190" s="203"/>
      <c r="F190" s="201"/>
    </row>
    <row r="191" spans="1:6" ht="23.25" x14ac:dyDescent="0.5">
      <c r="A191" s="20"/>
      <c r="B191" s="199"/>
      <c r="C191" s="155" t="s">
        <v>361</v>
      </c>
      <c r="D191" s="155" t="s">
        <v>362</v>
      </c>
      <c r="E191" s="203"/>
      <c r="F191" s="201"/>
    </row>
    <row r="192" spans="1:6" ht="23.25" x14ac:dyDescent="0.5">
      <c r="A192" s="20"/>
      <c r="B192" s="199"/>
      <c r="C192" s="155" t="s">
        <v>363</v>
      </c>
      <c r="D192" s="155" t="s">
        <v>364</v>
      </c>
      <c r="E192" s="203"/>
      <c r="F192" s="201"/>
    </row>
    <row r="193" spans="1:6" ht="23.25" x14ac:dyDescent="0.5">
      <c r="A193" s="20"/>
      <c r="B193" s="199"/>
      <c r="C193" s="155"/>
      <c r="D193" s="155" t="s">
        <v>365</v>
      </c>
      <c r="E193" s="204">
        <v>14000</v>
      </c>
      <c r="F193" s="201"/>
    </row>
    <row r="194" spans="1:6" ht="23.25" x14ac:dyDescent="0.5">
      <c r="A194" s="13"/>
      <c r="B194" s="200"/>
      <c r="C194" s="209"/>
      <c r="D194" s="209"/>
      <c r="E194" s="208"/>
      <c r="F194" s="207"/>
    </row>
    <row r="195" spans="1:6" x14ac:dyDescent="0.5">
      <c r="C195" s="221"/>
      <c r="E195" s="5"/>
      <c r="F195" s="471" t="s">
        <v>358</v>
      </c>
    </row>
    <row r="196" spans="1:6" x14ac:dyDescent="0.5">
      <c r="A196" s="747" t="s">
        <v>287</v>
      </c>
      <c r="B196" s="197" t="s">
        <v>145</v>
      </c>
      <c r="C196" s="747" t="s">
        <v>288</v>
      </c>
      <c r="D196" s="747" t="s">
        <v>289</v>
      </c>
      <c r="E196" s="747" t="s">
        <v>15</v>
      </c>
      <c r="F196" s="791" t="s">
        <v>33</v>
      </c>
    </row>
    <row r="197" spans="1:6" x14ac:dyDescent="0.5">
      <c r="A197" s="748"/>
      <c r="B197" s="198" t="s">
        <v>290</v>
      </c>
      <c r="C197" s="748"/>
      <c r="D197" s="748"/>
      <c r="E197" s="748"/>
      <c r="F197" s="792"/>
    </row>
    <row r="198" spans="1:6" ht="23.25" x14ac:dyDescent="0.5">
      <c r="A198" s="20">
        <v>13</v>
      </c>
      <c r="B198" s="202">
        <v>22799</v>
      </c>
      <c r="C198" s="155" t="s">
        <v>366</v>
      </c>
      <c r="D198" s="155" t="s">
        <v>367</v>
      </c>
      <c r="E198" s="203"/>
      <c r="F198" s="201"/>
    </row>
    <row r="199" spans="1:6" ht="23.25" x14ac:dyDescent="0.5">
      <c r="A199" s="20"/>
      <c r="B199" s="199"/>
      <c r="C199" s="155" t="s">
        <v>368</v>
      </c>
      <c r="D199" s="155" t="s">
        <v>369</v>
      </c>
      <c r="E199" s="203"/>
      <c r="F199" s="201"/>
    </row>
    <row r="200" spans="1:6" ht="23.25" x14ac:dyDescent="0.5">
      <c r="A200" s="20"/>
      <c r="B200" s="199"/>
      <c r="C200" s="155" t="s">
        <v>370</v>
      </c>
      <c r="D200" s="155" t="s">
        <v>371</v>
      </c>
      <c r="E200" s="204"/>
      <c r="F200" s="201"/>
    </row>
    <row r="201" spans="1:6" ht="23.25" x14ac:dyDescent="0.5">
      <c r="A201" s="13"/>
      <c r="B201" s="200"/>
      <c r="C201" s="209"/>
      <c r="D201" s="209" t="s">
        <v>372</v>
      </c>
      <c r="E201" s="210">
        <v>24850</v>
      </c>
      <c r="F201" s="207"/>
    </row>
    <row r="202" spans="1:6" ht="23.25" x14ac:dyDescent="0.5">
      <c r="A202" s="20">
        <v>14</v>
      </c>
      <c r="B202" s="199"/>
      <c r="C202" s="155" t="s">
        <v>346</v>
      </c>
      <c r="D202" s="155" t="s">
        <v>373</v>
      </c>
      <c r="E202" s="203"/>
      <c r="F202" s="201"/>
    </row>
    <row r="203" spans="1:6" ht="23.25" x14ac:dyDescent="0.5">
      <c r="A203" s="20"/>
      <c r="B203" s="199"/>
      <c r="C203" s="155" t="s">
        <v>374</v>
      </c>
      <c r="D203" s="155" t="s">
        <v>375</v>
      </c>
      <c r="E203" s="203"/>
      <c r="F203" s="201"/>
    </row>
    <row r="204" spans="1:6" ht="23.25" x14ac:dyDescent="0.5">
      <c r="A204" s="20"/>
      <c r="B204" s="199"/>
      <c r="C204" s="155" t="s">
        <v>376</v>
      </c>
      <c r="D204" s="155" t="s">
        <v>377</v>
      </c>
      <c r="E204" s="206"/>
      <c r="F204" s="201"/>
    </row>
    <row r="205" spans="1:6" ht="23.25" x14ac:dyDescent="0.5">
      <c r="A205" s="20"/>
      <c r="B205" s="199"/>
      <c r="C205" s="155"/>
      <c r="D205" s="155" t="s">
        <v>365</v>
      </c>
      <c r="E205" s="204">
        <v>7475</v>
      </c>
      <c r="F205" s="201"/>
    </row>
    <row r="206" spans="1:6" ht="23.25" x14ac:dyDescent="0.55000000000000004">
      <c r="A206" s="235"/>
      <c r="B206" s="218"/>
      <c r="C206" s="223"/>
      <c r="D206" s="223"/>
      <c r="E206" s="218"/>
      <c r="F206" s="218"/>
    </row>
    <row r="207" spans="1:6" ht="23.25" x14ac:dyDescent="0.55000000000000004">
      <c r="A207" s="233">
        <v>15</v>
      </c>
      <c r="B207" s="202"/>
      <c r="C207" s="48" t="s">
        <v>346</v>
      </c>
      <c r="D207" s="48" t="s">
        <v>378</v>
      </c>
      <c r="E207" s="213"/>
      <c r="F207" s="213"/>
    </row>
    <row r="208" spans="1:6" ht="23.25" x14ac:dyDescent="0.55000000000000004">
      <c r="A208" s="53"/>
      <c r="B208" s="213"/>
      <c r="C208" s="48" t="s">
        <v>379</v>
      </c>
      <c r="D208" s="48" t="s">
        <v>380</v>
      </c>
      <c r="E208" s="213"/>
      <c r="F208" s="213"/>
    </row>
    <row r="209" spans="1:6" ht="23.25" x14ac:dyDescent="0.55000000000000004">
      <c r="A209" s="53"/>
      <c r="B209" s="213"/>
      <c r="C209" s="48" t="s">
        <v>381</v>
      </c>
      <c r="D209" s="48" t="s">
        <v>382</v>
      </c>
      <c r="E209" s="217">
        <v>24950</v>
      </c>
      <c r="F209" s="213"/>
    </row>
    <row r="210" spans="1:6" ht="23.25" x14ac:dyDescent="0.55000000000000004">
      <c r="A210" s="235"/>
      <c r="B210" s="218"/>
      <c r="C210" s="223"/>
      <c r="D210" s="223"/>
      <c r="E210" s="218"/>
      <c r="F210" s="218"/>
    </row>
    <row r="211" spans="1:6" ht="23.25" x14ac:dyDescent="0.55000000000000004">
      <c r="A211" s="233">
        <v>16</v>
      </c>
      <c r="B211" s="202"/>
      <c r="C211" s="48" t="s">
        <v>383</v>
      </c>
      <c r="D211" s="48" t="s">
        <v>384</v>
      </c>
      <c r="E211" s="213"/>
      <c r="F211" s="213"/>
    </row>
    <row r="212" spans="1:6" ht="23.25" x14ac:dyDescent="0.55000000000000004">
      <c r="A212" s="53"/>
      <c r="B212" s="213"/>
      <c r="C212" s="48" t="s">
        <v>385</v>
      </c>
      <c r="D212" s="48" t="s">
        <v>386</v>
      </c>
      <c r="E212" s="213"/>
      <c r="F212" s="213"/>
    </row>
    <row r="213" spans="1:6" ht="23.25" x14ac:dyDescent="0.55000000000000004">
      <c r="A213" s="53"/>
      <c r="B213" s="213"/>
      <c r="C213" s="48" t="s">
        <v>387</v>
      </c>
      <c r="D213" s="48" t="s">
        <v>388</v>
      </c>
      <c r="E213" s="213"/>
      <c r="F213" s="213"/>
    </row>
    <row r="214" spans="1:6" ht="23.25" x14ac:dyDescent="0.55000000000000004">
      <c r="A214" s="53"/>
      <c r="B214" s="213"/>
      <c r="C214" s="48"/>
      <c r="D214" s="48" t="s">
        <v>389</v>
      </c>
      <c r="E214" s="217">
        <v>7900</v>
      </c>
      <c r="F214" s="213"/>
    </row>
    <row r="215" spans="1:6" ht="23.25" x14ac:dyDescent="0.55000000000000004">
      <c r="A215" s="235"/>
      <c r="B215" s="218"/>
      <c r="C215" s="223"/>
      <c r="D215" s="223"/>
      <c r="E215" s="218"/>
      <c r="F215" s="218"/>
    </row>
    <row r="216" spans="1:6" ht="23.25" x14ac:dyDescent="0.55000000000000004">
      <c r="A216" s="233">
        <v>17</v>
      </c>
      <c r="B216" s="202"/>
      <c r="C216" s="48" t="s">
        <v>383</v>
      </c>
      <c r="D216" s="48" t="s">
        <v>390</v>
      </c>
      <c r="E216" s="213"/>
      <c r="F216" s="213"/>
    </row>
    <row r="217" spans="1:6" ht="23.25" x14ac:dyDescent="0.55000000000000004">
      <c r="A217" s="53"/>
      <c r="B217" s="213"/>
      <c r="C217" s="48" t="s">
        <v>391</v>
      </c>
      <c r="D217" s="48" t="s">
        <v>392</v>
      </c>
      <c r="E217" s="213"/>
      <c r="F217" s="213"/>
    </row>
    <row r="218" spans="1:6" ht="23.25" x14ac:dyDescent="0.55000000000000004">
      <c r="A218" s="53"/>
      <c r="B218" s="213"/>
      <c r="C218" s="48" t="s">
        <v>387</v>
      </c>
      <c r="D218" s="48" t="s">
        <v>393</v>
      </c>
      <c r="E218" s="213"/>
      <c r="F218" s="213"/>
    </row>
    <row r="219" spans="1:6" ht="23.25" x14ac:dyDescent="0.55000000000000004">
      <c r="A219" s="53"/>
      <c r="B219" s="213"/>
      <c r="C219" s="48"/>
      <c r="D219" s="48" t="s">
        <v>394</v>
      </c>
      <c r="E219" s="213"/>
      <c r="F219" s="213"/>
    </row>
    <row r="220" spans="1:6" ht="23.25" x14ac:dyDescent="0.55000000000000004">
      <c r="A220" s="235"/>
      <c r="B220" s="218"/>
      <c r="C220" s="223"/>
      <c r="D220" s="223" t="s">
        <v>395</v>
      </c>
      <c r="E220" s="222">
        <v>24900</v>
      </c>
      <c r="F220" s="218"/>
    </row>
    <row r="221" spans="1:6" ht="23.25" x14ac:dyDescent="0.5">
      <c r="A221" s="20">
        <v>18</v>
      </c>
      <c r="B221" s="202"/>
      <c r="C221" s="155" t="s">
        <v>397</v>
      </c>
      <c r="D221" s="156" t="s">
        <v>398</v>
      </c>
      <c r="E221" s="203"/>
      <c r="F221" s="602"/>
    </row>
    <row r="222" spans="1:6" ht="23.25" x14ac:dyDescent="0.5">
      <c r="A222" s="20"/>
      <c r="B222" s="199"/>
      <c r="C222" s="155" t="s">
        <v>399</v>
      </c>
      <c r="D222" s="155" t="s">
        <v>400</v>
      </c>
      <c r="E222" s="203"/>
      <c r="F222" s="201"/>
    </row>
    <row r="223" spans="1:6" ht="23.25" x14ac:dyDescent="0.5">
      <c r="A223" s="20"/>
      <c r="B223" s="627"/>
      <c r="C223" s="155" t="s">
        <v>401</v>
      </c>
      <c r="D223" s="155" t="s">
        <v>402</v>
      </c>
      <c r="E223" s="625">
        <v>2690</v>
      </c>
      <c r="F223" s="201"/>
    </row>
    <row r="224" spans="1:6" ht="23.25" x14ac:dyDescent="0.5">
      <c r="A224" s="628"/>
      <c r="B224" s="626"/>
      <c r="C224" s="612"/>
      <c r="D224" s="612"/>
      <c r="E224" s="624"/>
      <c r="F224" s="207"/>
    </row>
    <row r="225" spans="1:6" ht="23.25" x14ac:dyDescent="0.55000000000000004">
      <c r="A225" s="26"/>
      <c r="B225" s="5"/>
      <c r="C225" s="224"/>
      <c r="D225" s="224"/>
      <c r="E225" s="228"/>
      <c r="F225" s="5"/>
    </row>
    <row r="226" spans="1:6" ht="23.25" x14ac:dyDescent="0.55000000000000004">
      <c r="A226" s="26"/>
      <c r="B226" s="5"/>
      <c r="C226" s="224"/>
      <c r="D226" s="224"/>
      <c r="E226" s="228"/>
      <c r="F226" s="5"/>
    </row>
    <row r="227" spans="1:6" x14ac:dyDescent="0.5">
      <c r="C227" s="221"/>
      <c r="E227" s="5"/>
      <c r="F227" s="471" t="s">
        <v>396</v>
      </c>
    </row>
    <row r="228" spans="1:6" x14ac:dyDescent="0.5">
      <c r="A228" s="747" t="s">
        <v>287</v>
      </c>
      <c r="B228" s="197" t="s">
        <v>145</v>
      </c>
      <c r="C228" s="747" t="s">
        <v>288</v>
      </c>
      <c r="D228" s="747" t="s">
        <v>289</v>
      </c>
      <c r="E228" s="747" t="s">
        <v>15</v>
      </c>
      <c r="F228" s="791" t="s">
        <v>33</v>
      </c>
    </row>
    <row r="229" spans="1:6" x14ac:dyDescent="0.5">
      <c r="A229" s="748"/>
      <c r="B229" s="198" t="s">
        <v>290</v>
      </c>
      <c r="C229" s="748"/>
      <c r="D229" s="748"/>
      <c r="E229" s="748"/>
      <c r="F229" s="792"/>
    </row>
    <row r="230" spans="1:6" ht="23.25" x14ac:dyDescent="0.5">
      <c r="A230" s="20">
        <v>19</v>
      </c>
      <c r="B230" s="202"/>
      <c r="C230" s="155" t="s">
        <v>397</v>
      </c>
      <c r="D230" s="155" t="s">
        <v>403</v>
      </c>
      <c r="E230" s="203"/>
      <c r="F230" s="201"/>
    </row>
    <row r="231" spans="1:6" ht="23.25" x14ac:dyDescent="0.5">
      <c r="A231" s="20"/>
      <c r="B231" s="199"/>
      <c r="C231" s="155" t="s">
        <v>404</v>
      </c>
      <c r="D231" s="155" t="s">
        <v>405</v>
      </c>
      <c r="E231" s="203"/>
      <c r="F231" s="201"/>
    </row>
    <row r="232" spans="1:6" ht="23.25" x14ac:dyDescent="0.5">
      <c r="A232" s="20"/>
      <c r="B232" s="199"/>
      <c r="C232" s="155" t="s">
        <v>401</v>
      </c>
      <c r="D232" s="155" t="s">
        <v>406</v>
      </c>
      <c r="E232" s="204">
        <v>2335</v>
      </c>
      <c r="F232" s="201"/>
    </row>
    <row r="233" spans="1:6" ht="23.25" x14ac:dyDescent="0.5">
      <c r="A233" s="13"/>
      <c r="B233" s="200"/>
      <c r="C233" s="209"/>
      <c r="D233" s="209"/>
      <c r="E233" s="210"/>
      <c r="F233" s="207"/>
    </row>
    <row r="234" spans="1:6" ht="23.25" x14ac:dyDescent="0.5">
      <c r="A234" s="20">
        <v>20</v>
      </c>
      <c r="B234" s="202"/>
      <c r="C234" s="155" t="s">
        <v>397</v>
      </c>
      <c r="D234" s="230" t="s">
        <v>407</v>
      </c>
      <c r="E234" s="203"/>
      <c r="F234" s="201"/>
    </row>
    <row r="235" spans="1:6" ht="23.25" x14ac:dyDescent="0.5">
      <c r="A235" s="20"/>
      <c r="B235" s="199"/>
      <c r="C235" s="155" t="s">
        <v>408</v>
      </c>
      <c r="D235" s="155" t="s">
        <v>409</v>
      </c>
      <c r="E235" s="203"/>
      <c r="F235" s="201"/>
    </row>
    <row r="236" spans="1:6" ht="23.25" x14ac:dyDescent="0.5">
      <c r="A236" s="20"/>
      <c r="B236" s="199"/>
      <c r="C236" s="155" t="s">
        <v>401</v>
      </c>
      <c r="D236" s="155" t="s">
        <v>410</v>
      </c>
      <c r="E236" s="204">
        <v>2400</v>
      </c>
      <c r="F236" s="201"/>
    </row>
    <row r="237" spans="1:6" ht="23.25" x14ac:dyDescent="0.5">
      <c r="A237" s="20"/>
      <c r="B237" s="199"/>
      <c r="C237" s="155"/>
      <c r="D237" s="155"/>
      <c r="E237" s="204"/>
      <c r="F237" s="201"/>
    </row>
    <row r="238" spans="1:6" x14ac:dyDescent="0.5">
      <c r="A238" s="218"/>
      <c r="B238" s="218"/>
      <c r="C238" s="223"/>
      <c r="D238" s="223"/>
      <c r="E238" s="218"/>
      <c r="F238" s="218"/>
    </row>
    <row r="239" spans="1:6" ht="22.5" thickBot="1" x14ac:dyDescent="0.55000000000000004">
      <c r="A239" s="220"/>
      <c r="B239" s="471"/>
      <c r="C239" s="220"/>
      <c r="D239" s="196" t="s">
        <v>14</v>
      </c>
      <c r="E239" s="211">
        <f>SUM(E136:E238)</f>
        <v>353455</v>
      </c>
      <c r="F239" s="5"/>
    </row>
    <row r="240" spans="1:6" ht="22.5" thickTop="1" x14ac:dyDescent="0.5"/>
  </sheetData>
  <mergeCells count="44">
    <mergeCell ref="F67:F68"/>
    <mergeCell ref="A99:A100"/>
    <mergeCell ref="C99:C100"/>
    <mergeCell ref="D99:D100"/>
    <mergeCell ref="E99:E100"/>
    <mergeCell ref="F99:F100"/>
    <mergeCell ref="F35:F36"/>
    <mergeCell ref="A6:A7"/>
    <mergeCell ref="C6:C7"/>
    <mergeCell ref="D6:D7"/>
    <mergeCell ref="E6:E7"/>
    <mergeCell ref="F6:F7"/>
    <mergeCell ref="A228:A229"/>
    <mergeCell ref="C228:C229"/>
    <mergeCell ref="D228:D229"/>
    <mergeCell ref="E228:E229"/>
    <mergeCell ref="F228:F229"/>
    <mergeCell ref="A196:A197"/>
    <mergeCell ref="C196:C197"/>
    <mergeCell ref="D196:D197"/>
    <mergeCell ref="E196:E197"/>
    <mergeCell ref="F196:F197"/>
    <mergeCell ref="A164:A165"/>
    <mergeCell ref="C164:C165"/>
    <mergeCell ref="D164:D165"/>
    <mergeCell ref="E164:E165"/>
    <mergeCell ref="F164:F165"/>
    <mergeCell ref="A132:A133"/>
    <mergeCell ref="C132:C133"/>
    <mergeCell ref="D132:D133"/>
    <mergeCell ref="E132:E133"/>
    <mergeCell ref="F132:F133"/>
    <mergeCell ref="A1:E1"/>
    <mergeCell ref="A2:E2"/>
    <mergeCell ref="A3:E3"/>
    <mergeCell ref="A4:E4"/>
    <mergeCell ref="A67:A68"/>
    <mergeCell ref="C67:C68"/>
    <mergeCell ref="D67:D68"/>
    <mergeCell ref="E67:E68"/>
    <mergeCell ref="A35:A36"/>
    <mergeCell ref="C35:C36"/>
    <mergeCell ref="D35:D36"/>
    <mergeCell ref="E35:E36"/>
  </mergeCells>
  <pageMargins left="0.54" right="0.21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view="pageBreakPreview" zoomScale="90" zoomScaleNormal="100" zoomScaleSheetLayoutView="90" workbookViewId="0">
      <selection activeCell="G14" sqref="G14"/>
    </sheetView>
  </sheetViews>
  <sheetFormatPr defaultRowHeight="24" x14ac:dyDescent="0.55000000000000004"/>
  <cols>
    <col min="1" max="1" width="7.42578125" style="6" customWidth="1"/>
    <col min="2" max="2" width="22.42578125" style="6" customWidth="1"/>
    <col min="3" max="3" width="21.7109375" style="6" customWidth="1"/>
    <col min="4" max="4" width="19.42578125" style="6" customWidth="1"/>
    <col min="5" max="5" width="15.7109375" style="6" customWidth="1"/>
    <col min="6" max="16384" width="9.140625" style="6"/>
  </cols>
  <sheetData>
    <row r="1" spans="1:5" ht="29.1" customHeight="1" x14ac:dyDescent="0.65">
      <c r="A1" s="716" t="s">
        <v>142</v>
      </c>
      <c r="B1" s="716"/>
      <c r="C1" s="716"/>
      <c r="D1" s="716"/>
      <c r="E1" s="716"/>
    </row>
    <row r="2" spans="1:5" x14ac:dyDescent="0.55000000000000004">
      <c r="A2" s="742" t="s">
        <v>819</v>
      </c>
      <c r="B2" s="742"/>
      <c r="C2" s="742"/>
      <c r="D2" s="742"/>
      <c r="E2" s="742"/>
    </row>
    <row r="3" spans="1:5" s="60" customFormat="1" x14ac:dyDescent="0.55000000000000004">
      <c r="A3" s="794" t="s">
        <v>144</v>
      </c>
      <c r="B3" s="794"/>
      <c r="C3" s="794"/>
      <c r="D3" s="794"/>
      <c r="E3" s="794"/>
    </row>
    <row r="4" spans="1:5" x14ac:dyDescent="0.55000000000000004">
      <c r="A4" s="657"/>
      <c r="B4" s="657"/>
      <c r="C4" s="657"/>
      <c r="D4" s="657"/>
      <c r="E4" s="657"/>
    </row>
    <row r="5" spans="1:5" x14ac:dyDescent="0.55000000000000004">
      <c r="A5" s="34" t="s">
        <v>138</v>
      </c>
      <c r="B5" s="34" t="s">
        <v>139</v>
      </c>
      <c r="C5" s="34" t="s">
        <v>140</v>
      </c>
      <c r="D5" s="34" t="s">
        <v>141</v>
      </c>
      <c r="E5" s="34" t="s">
        <v>33</v>
      </c>
    </row>
    <row r="6" spans="1:5" x14ac:dyDescent="0.55000000000000004">
      <c r="A6" s="37">
        <v>1</v>
      </c>
      <c r="B6" s="35" t="s">
        <v>143</v>
      </c>
      <c r="C6" s="55">
        <v>2218.8000000000002</v>
      </c>
      <c r="D6" s="37" t="s">
        <v>6</v>
      </c>
      <c r="E6" s="35"/>
    </row>
    <row r="7" spans="1:5" x14ac:dyDescent="0.55000000000000004">
      <c r="A7" s="37">
        <v>2</v>
      </c>
      <c r="B7" s="35" t="s">
        <v>821</v>
      </c>
      <c r="C7" s="55">
        <v>7804.5</v>
      </c>
      <c r="D7" s="37" t="s">
        <v>6</v>
      </c>
      <c r="E7" s="35"/>
    </row>
    <row r="8" spans="1:5" x14ac:dyDescent="0.55000000000000004">
      <c r="A8" s="37">
        <v>3</v>
      </c>
      <c r="B8" s="35" t="s">
        <v>820</v>
      </c>
      <c r="C8" s="55">
        <v>17189.25</v>
      </c>
      <c r="D8" s="37" t="s">
        <v>6</v>
      </c>
      <c r="E8" s="35"/>
    </row>
    <row r="9" spans="1:5" x14ac:dyDescent="0.55000000000000004">
      <c r="A9" s="37">
        <v>4</v>
      </c>
      <c r="B9" s="35" t="s">
        <v>822</v>
      </c>
      <c r="C9" s="55">
        <v>27831.75</v>
      </c>
      <c r="D9" s="37" t="s">
        <v>6</v>
      </c>
      <c r="E9" s="35"/>
    </row>
    <row r="10" spans="1:5" x14ac:dyDescent="0.55000000000000004">
      <c r="A10" s="37">
        <v>5</v>
      </c>
      <c r="B10" s="35" t="s">
        <v>823</v>
      </c>
      <c r="C10" s="55">
        <v>9995.35</v>
      </c>
      <c r="D10" s="37" t="s">
        <v>6</v>
      </c>
      <c r="E10" s="35"/>
    </row>
    <row r="11" spans="1:5" x14ac:dyDescent="0.55000000000000004">
      <c r="A11" s="37">
        <v>6</v>
      </c>
      <c r="B11" s="35" t="s">
        <v>824</v>
      </c>
      <c r="C11" s="55">
        <v>1631.85</v>
      </c>
      <c r="D11" s="37" t="s">
        <v>6</v>
      </c>
      <c r="E11" s="35"/>
    </row>
    <row r="12" spans="1:5" x14ac:dyDescent="0.55000000000000004">
      <c r="A12" s="37">
        <v>7</v>
      </c>
      <c r="B12" s="35" t="s">
        <v>825</v>
      </c>
      <c r="C12" s="55">
        <v>19165.099999999999</v>
      </c>
      <c r="D12" s="37" t="s">
        <v>6</v>
      </c>
      <c r="E12" s="35"/>
    </row>
    <row r="13" spans="1:5" x14ac:dyDescent="0.55000000000000004">
      <c r="A13" s="35"/>
      <c r="B13" s="35"/>
      <c r="C13" s="55"/>
      <c r="D13" s="35"/>
      <c r="E13" s="35"/>
    </row>
    <row r="14" spans="1:5" x14ac:dyDescent="0.55000000000000004">
      <c r="A14" s="35"/>
      <c r="B14" s="35"/>
      <c r="C14" s="55"/>
      <c r="D14" s="35"/>
      <c r="E14" s="35"/>
    </row>
    <row r="15" spans="1:5" x14ac:dyDescent="0.55000000000000004">
      <c r="A15" s="35"/>
      <c r="B15" s="35"/>
      <c r="C15" s="55"/>
      <c r="D15" s="35"/>
      <c r="E15" s="36"/>
    </row>
    <row r="16" spans="1:5" ht="24.75" thickBot="1" x14ac:dyDescent="0.6">
      <c r="A16" s="711" t="s">
        <v>283</v>
      </c>
      <c r="B16" s="712"/>
      <c r="C16" s="315">
        <f>SUM(C6:C15)</f>
        <v>85836.6</v>
      </c>
      <c r="D16" s="313"/>
      <c r="E16" s="60"/>
    </row>
    <row r="17" spans="1:5" s="60" customFormat="1" ht="24.75" thickTop="1" x14ac:dyDescent="0.55000000000000004"/>
    <row r="18" spans="1:5" s="60" customFormat="1" x14ac:dyDescent="0.55000000000000004"/>
    <row r="19" spans="1:5" s="60" customFormat="1" x14ac:dyDescent="0.55000000000000004"/>
    <row r="20" spans="1:5" s="60" customFormat="1" x14ac:dyDescent="0.55000000000000004"/>
    <row r="21" spans="1:5" s="60" customFormat="1" x14ac:dyDescent="0.55000000000000004"/>
    <row r="22" spans="1:5" s="60" customFormat="1" x14ac:dyDescent="0.55000000000000004"/>
    <row r="23" spans="1:5" s="60" customFormat="1" x14ac:dyDescent="0.55000000000000004"/>
    <row r="24" spans="1:5" s="60" customFormat="1" x14ac:dyDescent="0.55000000000000004"/>
    <row r="25" spans="1:5" s="60" customFormat="1" x14ac:dyDescent="0.55000000000000004"/>
    <row r="26" spans="1:5" s="60" customFormat="1" x14ac:dyDescent="0.55000000000000004"/>
    <row r="27" spans="1:5" s="60" customFormat="1" x14ac:dyDescent="0.55000000000000004"/>
    <row r="28" spans="1:5" s="60" customFormat="1" x14ac:dyDescent="0.55000000000000004"/>
    <row r="29" spans="1:5" s="60" customFormat="1" x14ac:dyDescent="0.55000000000000004"/>
    <row r="30" spans="1:5" x14ac:dyDescent="0.55000000000000004">
      <c r="A30" s="60"/>
      <c r="B30" s="60"/>
      <c r="C30" s="60"/>
      <c r="D30" s="60"/>
      <c r="E30" s="60"/>
    </row>
    <row r="31" spans="1:5" x14ac:dyDescent="0.55000000000000004">
      <c r="A31" s="60"/>
      <c r="B31" s="60"/>
      <c r="C31" s="60"/>
      <c r="D31" s="60"/>
      <c r="E31" s="60"/>
    </row>
    <row r="32" spans="1:5" x14ac:dyDescent="0.55000000000000004">
      <c r="A32" s="60"/>
      <c r="B32" s="60"/>
      <c r="C32" s="60"/>
      <c r="D32" s="60"/>
      <c r="E32" s="60"/>
    </row>
    <row r="33" spans="1:5" s="60" customFormat="1" x14ac:dyDescent="0.55000000000000004">
      <c r="A33" s="794"/>
      <c r="B33" s="794"/>
      <c r="C33" s="794"/>
      <c r="D33" s="794"/>
      <c r="E33" s="794"/>
    </row>
    <row r="34" spans="1:5" s="60" customFormat="1" x14ac:dyDescent="0.55000000000000004">
      <c r="A34" s="794"/>
      <c r="B34" s="794"/>
      <c r="C34" s="794"/>
      <c r="D34" s="794"/>
      <c r="E34" s="794"/>
    </row>
    <row r="35" spans="1:5" s="60" customFormat="1" x14ac:dyDescent="0.55000000000000004">
      <c r="A35" s="794"/>
      <c r="B35" s="794"/>
      <c r="C35" s="794"/>
      <c r="D35" s="794"/>
      <c r="E35" s="794"/>
    </row>
    <row r="36" spans="1:5" s="60" customFormat="1" x14ac:dyDescent="0.55000000000000004">
      <c r="A36" s="656"/>
      <c r="B36" s="656"/>
      <c r="C36" s="656"/>
      <c r="D36" s="656"/>
      <c r="E36" s="656"/>
    </row>
    <row r="37" spans="1:5" s="60" customFormat="1" x14ac:dyDescent="0.55000000000000004">
      <c r="A37" s="39"/>
      <c r="C37" s="252"/>
      <c r="D37" s="39"/>
    </row>
    <row r="38" spans="1:5" s="60" customFormat="1" x14ac:dyDescent="0.55000000000000004">
      <c r="A38" s="39"/>
      <c r="C38" s="252"/>
      <c r="D38" s="39"/>
    </row>
    <row r="39" spans="1:5" s="60" customFormat="1" x14ac:dyDescent="0.55000000000000004">
      <c r="A39" s="39"/>
      <c r="C39" s="252"/>
      <c r="D39" s="39"/>
    </row>
    <row r="40" spans="1:5" s="60" customFormat="1" x14ac:dyDescent="0.55000000000000004">
      <c r="A40" s="39"/>
      <c r="C40" s="252"/>
      <c r="D40" s="39"/>
    </row>
    <row r="41" spans="1:5" s="60" customFormat="1" x14ac:dyDescent="0.55000000000000004">
      <c r="A41" s="39"/>
      <c r="C41" s="252"/>
      <c r="D41" s="39"/>
    </row>
    <row r="42" spans="1:5" s="60" customFormat="1" x14ac:dyDescent="0.55000000000000004">
      <c r="A42" s="39"/>
      <c r="C42" s="252"/>
      <c r="D42" s="39"/>
    </row>
    <row r="43" spans="1:5" s="60" customFormat="1" x14ac:dyDescent="0.55000000000000004">
      <c r="A43" s="39"/>
      <c r="C43" s="252"/>
      <c r="D43" s="39"/>
    </row>
    <row r="44" spans="1:5" s="60" customFormat="1" x14ac:dyDescent="0.55000000000000004">
      <c r="C44" s="252"/>
    </row>
    <row r="45" spans="1:5" s="60" customFormat="1" x14ac:dyDescent="0.55000000000000004">
      <c r="C45" s="252"/>
    </row>
    <row r="46" spans="1:5" s="60" customFormat="1" x14ac:dyDescent="0.55000000000000004">
      <c r="C46" s="252"/>
    </row>
    <row r="47" spans="1:5" s="60" customFormat="1" x14ac:dyDescent="0.55000000000000004">
      <c r="C47" s="601"/>
    </row>
    <row r="48" spans="1:5" s="60" customFormat="1" x14ac:dyDescent="0.55000000000000004"/>
    <row r="49" s="60" customFormat="1" x14ac:dyDescent="0.55000000000000004"/>
    <row r="50" s="60" customFormat="1" x14ac:dyDescent="0.55000000000000004"/>
    <row r="51" s="60" customFormat="1" x14ac:dyDescent="0.55000000000000004"/>
    <row r="52" s="60" customFormat="1" x14ac:dyDescent="0.55000000000000004"/>
    <row r="53" s="60" customFormat="1" x14ac:dyDescent="0.55000000000000004"/>
    <row r="54" s="60" customFormat="1" x14ac:dyDescent="0.55000000000000004"/>
    <row r="55" s="60" customFormat="1" x14ac:dyDescent="0.55000000000000004"/>
    <row r="56" s="60" customFormat="1" x14ac:dyDescent="0.55000000000000004"/>
    <row r="57" s="60" customFormat="1" x14ac:dyDescent="0.55000000000000004"/>
    <row r="58" s="60" customFormat="1" x14ac:dyDescent="0.55000000000000004"/>
    <row r="59" s="60" customFormat="1" x14ac:dyDescent="0.55000000000000004"/>
    <row r="60" s="60" customFormat="1" x14ac:dyDescent="0.55000000000000004"/>
  </sheetData>
  <mergeCells count="7">
    <mergeCell ref="A35:E35"/>
    <mergeCell ref="A16:B16"/>
    <mergeCell ref="A1:E1"/>
    <mergeCell ref="A2:E2"/>
    <mergeCell ref="A3:E3"/>
    <mergeCell ref="A33:E33"/>
    <mergeCell ref="A34:E3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view="pageBreakPreview" topLeftCell="A16" zoomScale="90" zoomScaleNormal="100" zoomScaleSheetLayoutView="90" workbookViewId="0">
      <selection activeCell="E28" sqref="E28"/>
    </sheetView>
  </sheetViews>
  <sheetFormatPr defaultRowHeight="24" x14ac:dyDescent="0.55000000000000004"/>
  <cols>
    <col min="1" max="1" width="0.5703125" style="6" customWidth="1"/>
    <col min="2" max="2" width="9.140625" style="6"/>
    <col min="3" max="3" width="4.5703125" style="6" customWidth="1"/>
    <col min="4" max="9" width="9.140625" style="6"/>
    <col min="10" max="10" width="17.42578125" style="6" customWidth="1"/>
    <col min="11" max="16384" width="9.140625" style="6"/>
  </cols>
  <sheetData>
    <row r="1" spans="2:11" ht="27.75" x14ac:dyDescent="0.65">
      <c r="B1" s="716" t="s">
        <v>51</v>
      </c>
      <c r="C1" s="716"/>
      <c r="D1" s="716"/>
      <c r="E1" s="716"/>
      <c r="F1" s="716"/>
      <c r="G1" s="716"/>
      <c r="H1" s="716"/>
      <c r="I1" s="716"/>
      <c r="J1" s="716"/>
      <c r="K1" s="716"/>
    </row>
    <row r="2" spans="2:11" ht="27.75" x14ac:dyDescent="0.65">
      <c r="B2" s="716" t="s">
        <v>107</v>
      </c>
      <c r="C2" s="716"/>
      <c r="D2" s="716"/>
      <c r="E2" s="716"/>
      <c r="F2" s="716"/>
      <c r="G2" s="716"/>
      <c r="H2" s="716"/>
      <c r="I2" s="716"/>
      <c r="J2" s="716"/>
      <c r="K2" s="716"/>
    </row>
    <row r="3" spans="2:11" ht="30.75" customHeight="1" x14ac:dyDescent="0.65">
      <c r="B3" s="714" t="s">
        <v>605</v>
      </c>
      <c r="C3" s="714"/>
      <c r="D3" s="714"/>
      <c r="E3" s="714"/>
      <c r="F3" s="714"/>
      <c r="G3" s="714"/>
      <c r="H3" s="714"/>
      <c r="I3" s="714"/>
      <c r="J3" s="714"/>
      <c r="K3" s="714"/>
    </row>
    <row r="4" spans="2:11" x14ac:dyDescent="0.55000000000000004">
      <c r="B4" s="7" t="s">
        <v>108</v>
      </c>
    </row>
    <row r="5" spans="2:11" x14ac:dyDescent="0.55000000000000004">
      <c r="C5" s="6" t="s">
        <v>109</v>
      </c>
    </row>
    <row r="6" spans="2:11" x14ac:dyDescent="0.55000000000000004">
      <c r="B6" s="6" t="s">
        <v>110</v>
      </c>
    </row>
    <row r="7" spans="2:11" x14ac:dyDescent="0.55000000000000004">
      <c r="B7" s="6" t="s">
        <v>111</v>
      </c>
    </row>
    <row r="8" spans="2:11" x14ac:dyDescent="0.55000000000000004">
      <c r="B8" s="6" t="s">
        <v>112</v>
      </c>
    </row>
    <row r="9" spans="2:11" x14ac:dyDescent="0.55000000000000004">
      <c r="B9" s="6" t="s">
        <v>113</v>
      </c>
    </row>
    <row r="10" spans="2:11" x14ac:dyDescent="0.55000000000000004">
      <c r="B10" s="6" t="s">
        <v>114</v>
      </c>
    </row>
    <row r="11" spans="2:11" x14ac:dyDescent="0.55000000000000004">
      <c r="B11" s="6" t="s">
        <v>115</v>
      </c>
    </row>
    <row r="12" spans="2:11" x14ac:dyDescent="0.55000000000000004">
      <c r="B12" s="7" t="s">
        <v>116</v>
      </c>
    </row>
    <row r="13" spans="2:11" x14ac:dyDescent="0.55000000000000004">
      <c r="B13" s="6" t="s">
        <v>117</v>
      </c>
      <c r="D13" s="6" t="s">
        <v>118</v>
      </c>
    </row>
    <row r="14" spans="2:11" x14ac:dyDescent="0.55000000000000004">
      <c r="B14" s="717" t="s">
        <v>119</v>
      </c>
      <c r="C14" s="717"/>
      <c r="D14" s="6" t="s">
        <v>120</v>
      </c>
    </row>
    <row r="15" spans="2:11" x14ac:dyDescent="0.55000000000000004">
      <c r="B15" s="6" t="s">
        <v>121</v>
      </c>
      <c r="D15" s="6" t="s">
        <v>122</v>
      </c>
    </row>
    <row r="16" spans="2:11" x14ac:dyDescent="0.55000000000000004">
      <c r="B16" s="717" t="s">
        <v>123</v>
      </c>
      <c r="C16" s="717"/>
      <c r="D16" s="6" t="s">
        <v>124</v>
      </c>
    </row>
    <row r="17" spans="2:4" x14ac:dyDescent="0.55000000000000004">
      <c r="B17" s="6" t="s">
        <v>125</v>
      </c>
    </row>
    <row r="18" spans="2:4" x14ac:dyDescent="0.55000000000000004">
      <c r="B18" s="6" t="s">
        <v>126</v>
      </c>
    </row>
    <row r="19" spans="2:4" x14ac:dyDescent="0.55000000000000004">
      <c r="B19" s="6" t="s">
        <v>127</v>
      </c>
    </row>
    <row r="20" spans="2:4" x14ac:dyDescent="0.55000000000000004">
      <c r="B20" s="6" t="s">
        <v>128</v>
      </c>
    </row>
    <row r="21" spans="2:4" x14ac:dyDescent="0.55000000000000004">
      <c r="B21" s="6" t="s">
        <v>129</v>
      </c>
    </row>
    <row r="22" spans="2:4" x14ac:dyDescent="0.55000000000000004">
      <c r="B22" s="6" t="s">
        <v>130</v>
      </c>
    </row>
    <row r="23" spans="2:4" x14ac:dyDescent="0.55000000000000004">
      <c r="B23" s="6" t="s">
        <v>131</v>
      </c>
    </row>
    <row r="24" spans="2:4" x14ac:dyDescent="0.55000000000000004">
      <c r="B24" s="6" t="s">
        <v>132</v>
      </c>
    </row>
    <row r="25" spans="2:4" x14ac:dyDescent="0.55000000000000004">
      <c r="B25" s="6" t="s">
        <v>810</v>
      </c>
    </row>
    <row r="26" spans="2:4" x14ac:dyDescent="0.55000000000000004">
      <c r="B26" s="6" t="s">
        <v>811</v>
      </c>
    </row>
    <row r="27" spans="2:4" s="8" customFormat="1" ht="30" customHeight="1" x14ac:dyDescent="0.65">
      <c r="B27" s="8" t="s">
        <v>133</v>
      </c>
    </row>
    <row r="28" spans="2:4" x14ac:dyDescent="0.55000000000000004">
      <c r="C28" s="6" t="s">
        <v>134</v>
      </c>
    </row>
    <row r="29" spans="2:4" x14ac:dyDescent="0.55000000000000004">
      <c r="D29" s="6" t="s">
        <v>135</v>
      </c>
    </row>
    <row r="30" spans="2:4" x14ac:dyDescent="0.55000000000000004">
      <c r="B30" s="6" t="s">
        <v>136</v>
      </c>
    </row>
    <row r="31" spans="2:4" x14ac:dyDescent="0.55000000000000004">
      <c r="B31" s="6" t="s">
        <v>137</v>
      </c>
    </row>
  </sheetData>
  <mergeCells count="5">
    <mergeCell ref="B1:K1"/>
    <mergeCell ref="B2:K2"/>
    <mergeCell ref="B3:K3"/>
    <mergeCell ref="B14:C14"/>
    <mergeCell ref="B16:C16"/>
  </mergeCells>
  <pageMargins left="0.7" right="0.7" top="0.75" bottom="0.5699999999999999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A13" sqref="A13"/>
    </sheetView>
  </sheetViews>
  <sheetFormatPr defaultRowHeight="20.100000000000001" customHeight="1" x14ac:dyDescent="0.2"/>
  <cols>
    <col min="1" max="1" width="54.42578125" style="146" customWidth="1"/>
    <col min="2" max="2" width="10.42578125" style="85" customWidth="1"/>
    <col min="3" max="3" width="15.42578125" style="147" customWidth="1"/>
    <col min="4" max="4" width="16" style="146" customWidth="1"/>
    <col min="5" max="5" width="9.140625" style="85"/>
    <col min="6" max="6" width="11.85546875" style="85" bestFit="1" customWidth="1"/>
    <col min="7" max="16384" width="9.140625" style="85"/>
  </cols>
  <sheetData>
    <row r="1" spans="1:7" ht="31.5" customHeight="1" x14ac:dyDescent="0.55000000000000004">
      <c r="A1" s="718" t="s">
        <v>50</v>
      </c>
      <c r="B1" s="718"/>
      <c r="C1" s="718"/>
      <c r="D1" s="718"/>
      <c r="F1" s="110"/>
      <c r="G1" s="110"/>
    </row>
    <row r="2" spans="1:7" ht="24" customHeight="1" x14ac:dyDescent="0.2">
      <c r="A2" s="719" t="s">
        <v>80</v>
      </c>
      <c r="B2" s="719"/>
      <c r="C2" s="719"/>
      <c r="D2" s="719"/>
      <c r="F2" s="110"/>
      <c r="G2" s="110"/>
    </row>
    <row r="3" spans="1:7" ht="24" customHeight="1" x14ac:dyDescent="0.2">
      <c r="A3" s="719" t="s">
        <v>610</v>
      </c>
      <c r="B3" s="719"/>
      <c r="C3" s="719"/>
      <c r="D3" s="719"/>
      <c r="F3" s="110"/>
      <c r="G3" s="110"/>
    </row>
    <row r="4" spans="1:7" ht="24" customHeight="1" x14ac:dyDescent="0.2">
      <c r="A4" s="719" t="s">
        <v>611</v>
      </c>
      <c r="B4" s="719"/>
      <c r="C4" s="719"/>
      <c r="D4" s="719"/>
      <c r="F4" s="110"/>
      <c r="G4" s="110"/>
    </row>
    <row r="5" spans="1:7" ht="24" customHeight="1" x14ac:dyDescent="0.2">
      <c r="A5" s="352"/>
      <c r="B5" s="352"/>
      <c r="C5" s="352"/>
      <c r="D5" s="366" t="s">
        <v>210</v>
      </c>
      <c r="F5" s="110"/>
      <c r="G5" s="110"/>
    </row>
    <row r="6" spans="1:7" ht="20.100000000000001" customHeight="1" x14ac:dyDescent="0.2">
      <c r="A6" s="86"/>
      <c r="B6" s="87" t="s">
        <v>1</v>
      </c>
      <c r="C6" s="88" t="s">
        <v>46</v>
      </c>
      <c r="D6" s="89" t="s">
        <v>39</v>
      </c>
      <c r="F6" s="110"/>
      <c r="G6" s="110"/>
    </row>
    <row r="7" spans="1:7" ht="21.95" customHeight="1" x14ac:dyDescent="0.2">
      <c r="A7" s="90" t="s">
        <v>211</v>
      </c>
      <c r="B7" s="91">
        <v>41000000</v>
      </c>
      <c r="C7" s="92"/>
      <c r="D7" s="93"/>
      <c r="F7" s="110"/>
      <c r="G7" s="110"/>
    </row>
    <row r="8" spans="1:7" ht="21.95" customHeight="1" x14ac:dyDescent="0.2">
      <c r="A8" s="94" t="s">
        <v>81</v>
      </c>
      <c r="B8" s="95" t="s">
        <v>212</v>
      </c>
      <c r="C8" s="92"/>
      <c r="D8" s="93"/>
      <c r="F8" s="110"/>
      <c r="G8" s="110"/>
    </row>
    <row r="9" spans="1:7" ht="21.95" customHeight="1" x14ac:dyDescent="0.2">
      <c r="A9" s="96" t="s">
        <v>82</v>
      </c>
      <c r="B9" s="95" t="s">
        <v>213</v>
      </c>
      <c r="C9" s="97">
        <v>493000</v>
      </c>
      <c r="D9" s="98">
        <f>4171.5+36158+345775.99+102251.73+15726.97+396+12144.75</f>
        <v>516624.93999999994</v>
      </c>
      <c r="E9" s="367" t="s">
        <v>612</v>
      </c>
      <c r="F9" s="111">
        <f>SUM(C9-D9)</f>
        <v>-23624.939999999944</v>
      </c>
      <c r="G9" s="110"/>
    </row>
    <row r="10" spans="1:7" ht="21.95" customHeight="1" x14ac:dyDescent="0.2">
      <c r="A10" s="96" t="s">
        <v>83</v>
      </c>
      <c r="B10" s="95" t="s">
        <v>214</v>
      </c>
      <c r="C10" s="97">
        <v>40000</v>
      </c>
      <c r="D10" s="98">
        <f>13627.73+10130.11+8064.44+4975.33+1877.17+465.04+228.36+830.44+31.22</f>
        <v>40229.840000000004</v>
      </c>
      <c r="F10" s="111">
        <f>SUM(C10-D10)</f>
        <v>-229.84000000000378</v>
      </c>
      <c r="G10" s="110"/>
    </row>
    <row r="11" spans="1:7" ht="21.95" customHeight="1" x14ac:dyDescent="0.2">
      <c r="A11" s="96" t="s">
        <v>84</v>
      </c>
      <c r="B11" s="99" t="s">
        <v>215</v>
      </c>
      <c r="C11" s="100">
        <v>25600</v>
      </c>
      <c r="D11" s="98">
        <f>200+960+10980+10530</f>
        <v>22670</v>
      </c>
      <c r="F11" s="111">
        <f>SUM(C11-D11)</f>
        <v>2930</v>
      </c>
      <c r="G11" s="110"/>
    </row>
    <row r="12" spans="1:7" ht="21.95" customHeight="1" x14ac:dyDescent="0.2">
      <c r="A12" s="101" t="s">
        <v>14</v>
      </c>
      <c r="B12" s="102"/>
      <c r="C12" s="103">
        <f>SUM(C9:C11)</f>
        <v>558600</v>
      </c>
      <c r="D12" s="88">
        <f>SUM(D9:D11)</f>
        <v>579524.77999999991</v>
      </c>
      <c r="F12" s="110"/>
      <c r="G12" s="110"/>
    </row>
    <row r="13" spans="1:7" ht="21.95" customHeight="1" x14ac:dyDescent="0.2">
      <c r="A13" s="94" t="s">
        <v>85</v>
      </c>
      <c r="B13" s="102">
        <v>41200000</v>
      </c>
      <c r="C13" s="104"/>
      <c r="D13" s="98"/>
      <c r="F13" s="110"/>
      <c r="G13" s="110"/>
    </row>
    <row r="14" spans="1:7" ht="21.95" customHeight="1" x14ac:dyDescent="0.2">
      <c r="A14" s="96" t="s">
        <v>613</v>
      </c>
      <c r="B14" s="95" t="s">
        <v>221</v>
      </c>
      <c r="C14" s="97">
        <v>600</v>
      </c>
      <c r="D14" s="105">
        <f>19.4+87.3+349.2+87.3+116.4+29.1</f>
        <v>688.69999999999993</v>
      </c>
      <c r="F14" s="368"/>
      <c r="G14" s="110"/>
    </row>
    <row r="15" spans="1:7" ht="21.95" customHeight="1" x14ac:dyDescent="0.2">
      <c r="A15" s="96" t="s">
        <v>614</v>
      </c>
      <c r="B15" s="95" t="s">
        <v>218</v>
      </c>
      <c r="C15" s="97">
        <v>1500</v>
      </c>
      <c r="D15" s="105">
        <f>42.5+1143+324.4+29.3+30+80+254+75+30</f>
        <v>2008.2</v>
      </c>
      <c r="F15" s="368">
        <f>SUM(C15-D15)</f>
        <v>-508.20000000000005</v>
      </c>
      <c r="G15" s="110"/>
    </row>
    <row r="16" spans="1:7" ht="21.95" customHeight="1" x14ac:dyDescent="0.2">
      <c r="A16" s="96" t="s">
        <v>615</v>
      </c>
      <c r="B16" s="95" t="s">
        <v>216</v>
      </c>
      <c r="C16" s="97">
        <v>74000</v>
      </c>
      <c r="D16" s="105">
        <f>14000+14400+3600+6480+1920+12080+6480+12380+3280</f>
        <v>74620</v>
      </c>
      <c r="F16" s="368">
        <f>SUM(C16-D16)</f>
        <v>-620</v>
      </c>
      <c r="G16" s="110"/>
    </row>
    <row r="17" spans="1:7" ht="21.95" customHeight="1" x14ac:dyDescent="0.2">
      <c r="A17" s="96" t="s">
        <v>219</v>
      </c>
      <c r="B17" s="95" t="s">
        <v>220</v>
      </c>
      <c r="C17" s="97">
        <v>25560</v>
      </c>
      <c r="D17" s="105">
        <v>0</v>
      </c>
      <c r="F17" s="368"/>
      <c r="G17" s="110"/>
    </row>
    <row r="18" spans="1:7" ht="21.95" customHeight="1" x14ac:dyDescent="0.2">
      <c r="A18" s="96" t="s">
        <v>616</v>
      </c>
      <c r="B18" s="95" t="s">
        <v>217</v>
      </c>
      <c r="C18" s="97">
        <v>550</v>
      </c>
      <c r="D18" s="105">
        <f>150+50+150+100+50+200+100</f>
        <v>800</v>
      </c>
      <c r="F18" s="368">
        <f t="shared" ref="F18:F25" si="0">SUM(C18-D18)</f>
        <v>-250</v>
      </c>
      <c r="G18" s="110"/>
    </row>
    <row r="19" spans="1:7" ht="21.95" customHeight="1" x14ac:dyDescent="0.2">
      <c r="A19" s="96" t="s">
        <v>222</v>
      </c>
      <c r="B19" s="95" t="s">
        <v>223</v>
      </c>
      <c r="C19" s="97">
        <v>2000000</v>
      </c>
      <c r="D19" s="105">
        <f>175076.65+140126.25+216728.6+272411.45+157547.7+157999.2+204884.25+234410.2+187449.9+234896.1+486368.7+85836.6</f>
        <v>2553735.6</v>
      </c>
      <c r="E19" s="367" t="s">
        <v>617</v>
      </c>
      <c r="F19" s="368"/>
      <c r="G19" s="110"/>
    </row>
    <row r="20" spans="1:7" ht="21.95" customHeight="1" x14ac:dyDescent="0.2">
      <c r="A20" s="96" t="s">
        <v>224</v>
      </c>
      <c r="B20" s="91">
        <v>41219999</v>
      </c>
      <c r="C20" s="97">
        <v>19000</v>
      </c>
      <c r="D20" s="106">
        <f>320+580+2520+6340+840+1380+360+360+940+380+340+980</f>
        <v>15340</v>
      </c>
      <c r="F20" s="368">
        <f t="shared" si="0"/>
        <v>3660</v>
      </c>
      <c r="G20" s="110"/>
    </row>
    <row r="21" spans="1:7" ht="21.95" customHeight="1" x14ac:dyDescent="0.2">
      <c r="A21" s="96" t="s">
        <v>225</v>
      </c>
      <c r="B21" s="95" t="s">
        <v>226</v>
      </c>
      <c r="C21" s="97">
        <v>5000</v>
      </c>
      <c r="D21" s="106">
        <f>200+200+800+1650+500+300</f>
        <v>3650</v>
      </c>
      <c r="F21" s="368">
        <f t="shared" si="0"/>
        <v>1350</v>
      </c>
      <c r="G21" s="110"/>
    </row>
    <row r="22" spans="1:7" ht="21.95" customHeight="1" x14ac:dyDescent="0.2">
      <c r="A22" s="96" t="s">
        <v>227</v>
      </c>
      <c r="B22" s="91">
        <v>41220009</v>
      </c>
      <c r="C22" s="107">
        <v>1500</v>
      </c>
      <c r="D22" s="106">
        <f>75.9+62.35+37.15+53.6+15.25+62.6+3.35+518.15+414.87+168.65+40.4</f>
        <v>1452.2700000000002</v>
      </c>
      <c r="F22" s="368">
        <f t="shared" si="0"/>
        <v>47.729999999999791</v>
      </c>
      <c r="G22" s="110"/>
    </row>
    <row r="23" spans="1:7" ht="21.95" customHeight="1" x14ac:dyDescent="0.2">
      <c r="A23" s="96" t="s">
        <v>228</v>
      </c>
      <c r="B23" s="108">
        <v>41220010</v>
      </c>
      <c r="C23" s="97">
        <v>16000</v>
      </c>
      <c r="D23" s="105">
        <f>11700+16467+200</f>
        <v>28367</v>
      </c>
      <c r="F23" s="368"/>
      <c r="G23" s="110"/>
    </row>
    <row r="24" spans="1:7" ht="21.95" customHeight="1" x14ac:dyDescent="0.2">
      <c r="A24" s="96" t="s">
        <v>229</v>
      </c>
      <c r="B24" s="95" t="s">
        <v>230</v>
      </c>
      <c r="C24" s="97">
        <v>200</v>
      </c>
      <c r="D24" s="105">
        <f>20+20+20+20+20+20+20+20+20</f>
        <v>180</v>
      </c>
      <c r="F24" s="368">
        <f>SUM(C24-D24)</f>
        <v>20</v>
      </c>
      <c r="G24" s="110"/>
    </row>
    <row r="25" spans="1:7" ht="21.95" customHeight="1" x14ac:dyDescent="0.2">
      <c r="A25" s="96" t="s">
        <v>231</v>
      </c>
      <c r="B25" s="99" t="s">
        <v>232</v>
      </c>
      <c r="C25" s="107">
        <v>1000</v>
      </c>
      <c r="D25" s="105">
        <v>0</v>
      </c>
      <c r="F25" s="368">
        <f t="shared" si="0"/>
        <v>1000</v>
      </c>
      <c r="G25" s="110"/>
    </row>
    <row r="26" spans="1:7" ht="21.95" customHeight="1" x14ac:dyDescent="0.2">
      <c r="A26" s="101" t="s">
        <v>14</v>
      </c>
      <c r="B26" s="95"/>
      <c r="C26" s="109">
        <f>SUM(C14:C25)</f>
        <v>2144910</v>
      </c>
      <c r="D26" s="88">
        <f>SUM(D13:D25)</f>
        <v>2680841.77</v>
      </c>
      <c r="F26" s="110"/>
      <c r="G26" s="110"/>
    </row>
    <row r="27" spans="1:7" ht="21.95" customHeight="1" x14ac:dyDescent="0.2">
      <c r="A27" s="94" t="s">
        <v>38</v>
      </c>
      <c r="B27" s="91">
        <v>41300000</v>
      </c>
      <c r="C27" s="92"/>
      <c r="D27" s="93"/>
      <c r="F27" s="110"/>
      <c r="G27" s="110"/>
    </row>
    <row r="28" spans="1:7" s="110" customFormat="1" ht="21.95" customHeight="1" x14ac:dyDescent="0.2">
      <c r="A28" s="96" t="s">
        <v>86</v>
      </c>
      <c r="B28" s="91">
        <v>41300003</v>
      </c>
      <c r="C28" s="97">
        <v>104000</v>
      </c>
      <c r="D28" s="97">
        <f>40379.83+9086.71+42265.6+22818.42</f>
        <v>114550.56</v>
      </c>
      <c r="F28" s="111">
        <f>SUM(C28-D28)</f>
        <v>-10550.559999999998</v>
      </c>
    </row>
    <row r="29" spans="1:7" ht="21.95" customHeight="1" x14ac:dyDescent="0.2">
      <c r="A29" s="96" t="s">
        <v>233</v>
      </c>
      <c r="B29" s="95" t="s">
        <v>234</v>
      </c>
      <c r="C29" s="97">
        <v>600000</v>
      </c>
      <c r="D29" s="98">
        <v>0</v>
      </c>
      <c r="F29" s="111">
        <f>SUM(C29-D29)</f>
        <v>600000</v>
      </c>
      <c r="G29" s="110"/>
    </row>
    <row r="30" spans="1:7" ht="21.95" customHeight="1" x14ac:dyDescent="0.2">
      <c r="A30" s="101" t="s">
        <v>14</v>
      </c>
      <c r="B30" s="112"/>
      <c r="C30" s="103">
        <f>SUM(C28:C29)</f>
        <v>704000</v>
      </c>
      <c r="D30" s="88">
        <f>SUM(D28:D29)</f>
        <v>114550.56</v>
      </c>
      <c r="F30" s="110"/>
      <c r="G30" s="110"/>
    </row>
    <row r="31" spans="1:7" ht="21.95" customHeight="1" x14ac:dyDescent="0.2">
      <c r="A31" s="94" t="s">
        <v>87</v>
      </c>
      <c r="B31" s="91">
        <v>41400000</v>
      </c>
      <c r="C31" s="113"/>
      <c r="D31" s="114"/>
      <c r="F31" s="110"/>
      <c r="G31" s="110"/>
    </row>
    <row r="32" spans="1:7" ht="21.95" customHeight="1" x14ac:dyDescent="0.2">
      <c r="A32" s="115" t="s">
        <v>235</v>
      </c>
      <c r="B32" s="91">
        <v>41400006</v>
      </c>
      <c r="C32" s="116">
        <v>350000</v>
      </c>
      <c r="D32" s="105">
        <f>47212+46678+30692+40248+53810+49944+30092+65890+48092+50960+47624</f>
        <v>511242</v>
      </c>
      <c r="F32" s="111">
        <f>SUM(C32-D32)</f>
        <v>-161242</v>
      </c>
      <c r="G32" s="110"/>
    </row>
    <row r="33" spans="1:7" ht="21.95" customHeight="1" x14ac:dyDescent="0.2">
      <c r="A33" s="117" t="s">
        <v>14</v>
      </c>
      <c r="B33" s="118"/>
      <c r="C33" s="103">
        <f>SUM(C32)</f>
        <v>350000</v>
      </c>
      <c r="D33" s="88">
        <f>SUM(D31:D32)</f>
        <v>511242</v>
      </c>
      <c r="F33" s="110"/>
      <c r="G33" s="110"/>
    </row>
    <row r="34" spans="1:7" ht="21.95" customHeight="1" x14ac:dyDescent="0.2">
      <c r="A34" s="352"/>
      <c r="B34" s="119"/>
      <c r="C34" s="120"/>
      <c r="D34" s="323"/>
      <c r="F34" s="110"/>
      <c r="G34" s="110"/>
    </row>
    <row r="35" spans="1:7" ht="21.95" customHeight="1" x14ac:dyDescent="0.2">
      <c r="A35" s="352"/>
      <c r="B35" s="119"/>
      <c r="C35" s="120"/>
      <c r="D35" s="323"/>
      <c r="F35" s="110"/>
      <c r="G35" s="110"/>
    </row>
    <row r="36" spans="1:7" ht="21.95" customHeight="1" x14ac:dyDescent="0.2">
      <c r="A36" s="352"/>
      <c r="B36" s="119"/>
      <c r="C36" s="120"/>
      <c r="D36" s="369" t="s">
        <v>236</v>
      </c>
      <c r="F36" s="110"/>
      <c r="G36" s="110"/>
    </row>
    <row r="37" spans="1:7" ht="21.95" customHeight="1" x14ac:dyDescent="0.2">
      <c r="A37" s="89" t="s">
        <v>0</v>
      </c>
      <c r="B37" s="87" t="s">
        <v>1</v>
      </c>
      <c r="C37" s="88" t="s">
        <v>46</v>
      </c>
      <c r="D37" s="89" t="s">
        <v>39</v>
      </c>
      <c r="F37" s="110"/>
      <c r="G37" s="110"/>
    </row>
    <row r="38" spans="1:7" ht="19.5" customHeight="1" x14ac:dyDescent="0.2">
      <c r="A38" s="94" t="s">
        <v>88</v>
      </c>
      <c r="B38" s="91">
        <v>41500000</v>
      </c>
      <c r="C38" s="92"/>
      <c r="D38" s="98"/>
      <c r="F38" s="110"/>
      <c r="G38" s="110"/>
    </row>
    <row r="39" spans="1:7" ht="21.95" customHeight="1" x14ac:dyDescent="0.2">
      <c r="A39" s="96" t="s">
        <v>618</v>
      </c>
      <c r="B39" s="95" t="s">
        <v>239</v>
      </c>
      <c r="C39" s="97">
        <v>500</v>
      </c>
      <c r="D39" s="121">
        <v>0</v>
      </c>
      <c r="F39" s="110"/>
      <c r="G39" s="110"/>
    </row>
    <row r="40" spans="1:7" ht="21.95" customHeight="1" x14ac:dyDescent="0.2">
      <c r="A40" s="96" t="s">
        <v>619</v>
      </c>
      <c r="B40" s="95" t="s">
        <v>237</v>
      </c>
      <c r="C40" s="97">
        <v>32000</v>
      </c>
      <c r="D40" s="98">
        <v>0</v>
      </c>
      <c r="E40" s="110"/>
      <c r="F40" s="110"/>
      <c r="G40" s="110"/>
    </row>
    <row r="41" spans="1:7" ht="21.95" customHeight="1" x14ac:dyDescent="0.2">
      <c r="A41" s="96" t="s">
        <v>620</v>
      </c>
      <c r="B41" s="95" t="s">
        <v>238</v>
      </c>
      <c r="C41" s="97">
        <v>12000</v>
      </c>
      <c r="D41" s="98">
        <f>3022.5+2500+12663.12</f>
        <v>18185.620000000003</v>
      </c>
      <c r="F41" s="110"/>
      <c r="G41" s="110"/>
    </row>
    <row r="42" spans="1:7" s="110" customFormat="1" ht="21.95" customHeight="1" x14ac:dyDescent="0.2">
      <c r="A42" s="96" t="s">
        <v>240</v>
      </c>
      <c r="B42" s="95" t="s">
        <v>238</v>
      </c>
      <c r="C42" s="97"/>
      <c r="D42" s="370">
        <f>700+2450</f>
        <v>3150</v>
      </c>
    </row>
    <row r="43" spans="1:7" ht="21.95" customHeight="1" x14ac:dyDescent="0.2">
      <c r="A43" s="101" t="s">
        <v>14</v>
      </c>
      <c r="B43" s="112"/>
      <c r="C43" s="103">
        <f>SUM(C39:C41)</f>
        <v>44500</v>
      </c>
      <c r="D43" s="88">
        <f>SUM(D40:D42)</f>
        <v>21335.620000000003</v>
      </c>
      <c r="F43" s="110"/>
      <c r="G43" s="110"/>
    </row>
    <row r="44" spans="1:7" s="110" customFormat="1" ht="21.95" customHeight="1" x14ac:dyDescent="0.2">
      <c r="A44" s="94" t="s">
        <v>103</v>
      </c>
      <c r="B44" s="91">
        <v>41600000</v>
      </c>
      <c r="C44" s="92"/>
      <c r="D44" s="114"/>
      <c r="E44" s="85"/>
    </row>
    <row r="45" spans="1:7" ht="21.95" customHeight="1" x14ac:dyDescent="0.2">
      <c r="A45" s="96" t="s">
        <v>241</v>
      </c>
      <c r="B45" s="95" t="s">
        <v>242</v>
      </c>
      <c r="C45" s="97">
        <v>3500</v>
      </c>
      <c r="D45" s="98">
        <v>0</v>
      </c>
      <c r="F45" s="111">
        <f>SUM(C45-D45)</f>
        <v>3500</v>
      </c>
      <c r="G45" s="110"/>
    </row>
    <row r="46" spans="1:7" ht="21.95" customHeight="1" x14ac:dyDescent="0.2">
      <c r="A46" s="101" t="s">
        <v>14</v>
      </c>
      <c r="B46" s="112"/>
      <c r="C46" s="103">
        <f>SUM(C45:C45)</f>
        <v>3500</v>
      </c>
      <c r="D46" s="88">
        <f>SUM(D45:D45)</f>
        <v>0</v>
      </c>
      <c r="F46" s="110"/>
      <c r="G46" s="110"/>
    </row>
    <row r="47" spans="1:7" ht="21.95" customHeight="1" x14ac:dyDescent="0.2">
      <c r="A47" s="122" t="s">
        <v>89</v>
      </c>
      <c r="B47" s="119"/>
      <c r="C47" s="92"/>
      <c r="D47" s="123">
        <f>SUM(D12+D26+D30+D33+D43+D46)</f>
        <v>3907494.73</v>
      </c>
      <c r="F47" s="110"/>
      <c r="G47" s="110"/>
    </row>
    <row r="48" spans="1:7" ht="21.95" customHeight="1" x14ac:dyDescent="0.2">
      <c r="A48" s="124" t="s">
        <v>621</v>
      </c>
      <c r="B48" s="91">
        <v>42000000</v>
      </c>
      <c r="C48" s="97"/>
      <c r="D48" s="130"/>
      <c r="F48" s="110"/>
      <c r="G48" s="110"/>
    </row>
    <row r="49" spans="1:7" ht="21.95" customHeight="1" x14ac:dyDescent="0.2">
      <c r="A49" s="94" t="s">
        <v>90</v>
      </c>
      <c r="B49" s="91">
        <v>42100000</v>
      </c>
      <c r="C49" s="125"/>
      <c r="D49" s="98"/>
      <c r="F49" s="110"/>
      <c r="G49" s="110"/>
    </row>
    <row r="50" spans="1:7" ht="21.95" customHeight="1" x14ac:dyDescent="0.2">
      <c r="A50" s="115" t="s">
        <v>91</v>
      </c>
      <c r="B50" s="91">
        <v>42100001</v>
      </c>
      <c r="C50" s="126">
        <v>370000</v>
      </c>
      <c r="D50" s="121">
        <f>65120.69+39652.87+26816.3+37407.24+31034.28+34147.09+39361.15+28848.43+31800.26+36614.81+29673.67</f>
        <v>400476.79</v>
      </c>
      <c r="F50" s="368"/>
      <c r="G50" s="110"/>
    </row>
    <row r="51" spans="1:7" ht="21.95" customHeight="1" x14ac:dyDescent="0.2">
      <c r="A51" s="96" t="s">
        <v>622</v>
      </c>
      <c r="B51" s="91">
        <v>42100002</v>
      </c>
      <c r="C51" s="116">
        <v>6000000</v>
      </c>
      <c r="D51" s="121">
        <f>571700.25+703743.62+723407.92+685523.49+614768.73+588033.57+755351.29+626710.96+665283.6+741282.17+681711.22+716693.28</f>
        <v>8074210.0999999996</v>
      </c>
      <c r="F51" s="368"/>
      <c r="G51" s="110"/>
    </row>
    <row r="52" spans="1:7" ht="21.95" customHeight="1" x14ac:dyDescent="0.2">
      <c r="A52" s="96" t="s">
        <v>243</v>
      </c>
      <c r="B52" s="91">
        <v>42100004</v>
      </c>
      <c r="C52" s="116">
        <v>1500000</v>
      </c>
      <c r="D52" s="105">
        <f>143172.3+105806+181438.77+126951.04+182831.62+123534.4+180405.21+205315+145661.48+130572.68+109491.19+275290.38</f>
        <v>1910470.0699999998</v>
      </c>
      <c r="F52" s="368"/>
      <c r="G52" s="110"/>
    </row>
    <row r="53" spans="1:7" ht="21.95" customHeight="1" x14ac:dyDescent="0.2">
      <c r="A53" s="96" t="s">
        <v>92</v>
      </c>
      <c r="B53" s="91">
        <v>42100005</v>
      </c>
      <c r="C53" s="116">
        <v>50000</v>
      </c>
      <c r="D53" s="121">
        <f>15625.41+32238.9+14850.36+15879.15</f>
        <v>78593.819999999992</v>
      </c>
      <c r="F53" s="368"/>
      <c r="G53" s="110"/>
    </row>
    <row r="54" spans="1:7" ht="21.95" customHeight="1" x14ac:dyDescent="0.2">
      <c r="A54" s="96" t="s">
        <v>93</v>
      </c>
      <c r="B54" s="91">
        <v>42100006</v>
      </c>
      <c r="C54" s="116">
        <v>800000</v>
      </c>
      <c r="D54" s="105">
        <v>0</v>
      </c>
      <c r="F54" s="368"/>
      <c r="G54" s="110"/>
    </row>
    <row r="55" spans="1:7" ht="21.95" customHeight="1" x14ac:dyDescent="0.2">
      <c r="A55" s="96" t="s">
        <v>94</v>
      </c>
      <c r="B55" s="91">
        <v>42100007</v>
      </c>
      <c r="C55" s="116">
        <v>1900000</v>
      </c>
      <c r="D55" s="105">
        <f>260791.43+254933.9+224143.59+310397.64+318773.25+321837.87+317007.6+332293.36+324007.47+298076.89+312850.5+317439.02</f>
        <v>3592552.5200000005</v>
      </c>
      <c r="F55" s="368"/>
      <c r="G55" s="110"/>
    </row>
    <row r="56" spans="1:7" ht="21.95" customHeight="1" x14ac:dyDescent="0.2">
      <c r="A56" s="96" t="s">
        <v>104</v>
      </c>
      <c r="B56" s="91">
        <v>42100012</v>
      </c>
      <c r="C56" s="116">
        <v>66000</v>
      </c>
      <c r="D56" s="106">
        <f>23058.58+21758.15+22362.32+25783.31</f>
        <v>92962.36</v>
      </c>
      <c r="F56" s="368"/>
      <c r="G56" s="110"/>
    </row>
    <row r="57" spans="1:7" ht="21.95" customHeight="1" x14ac:dyDescent="0.2">
      <c r="A57" s="96" t="s">
        <v>244</v>
      </c>
      <c r="B57" s="91">
        <v>42100013</v>
      </c>
      <c r="C57" s="116">
        <v>30000</v>
      </c>
      <c r="D57" s="106">
        <f>6100.11+6051.96+63788.11+15459.85</f>
        <v>91400.03</v>
      </c>
      <c r="F57" s="368"/>
      <c r="G57" s="110"/>
    </row>
    <row r="58" spans="1:7" ht="21.95" customHeight="1" x14ac:dyDescent="0.55000000000000004">
      <c r="A58" s="371" t="s">
        <v>245</v>
      </c>
      <c r="B58" s="91">
        <v>42100015</v>
      </c>
      <c r="C58" s="97">
        <v>760000</v>
      </c>
      <c r="D58" s="106">
        <f>80335+53645+75332+72075+62274+49416+71306+95211+80771+47440+161165+60002</f>
        <v>908972</v>
      </c>
      <c r="F58" s="368"/>
      <c r="G58" s="110"/>
    </row>
    <row r="59" spans="1:7" ht="21.95" customHeight="1" x14ac:dyDescent="0.2">
      <c r="A59" s="96" t="s">
        <v>623</v>
      </c>
      <c r="B59" s="91">
        <v>42199999</v>
      </c>
      <c r="C59" s="128">
        <v>1000</v>
      </c>
      <c r="D59" s="129">
        <v>0</v>
      </c>
      <c r="F59" s="368"/>
      <c r="G59" s="110"/>
    </row>
    <row r="60" spans="1:7" ht="21.95" customHeight="1" x14ac:dyDescent="0.2">
      <c r="A60" s="101" t="s">
        <v>14</v>
      </c>
      <c r="B60" s="112"/>
      <c r="C60" s="372">
        <f>SUM(C50:C59)</f>
        <v>11477000</v>
      </c>
      <c r="D60" s="373">
        <f>SUM(D50:D59)</f>
        <v>15149637.689999999</v>
      </c>
      <c r="F60" s="374"/>
      <c r="G60" s="110"/>
    </row>
    <row r="61" spans="1:7" ht="21.95" customHeight="1" x14ac:dyDescent="0.2">
      <c r="A61" s="122" t="s">
        <v>95</v>
      </c>
      <c r="B61" s="119"/>
      <c r="C61" s="375"/>
      <c r="D61" s="123">
        <f>SUM(D47+D60)</f>
        <v>19057132.419999998</v>
      </c>
      <c r="F61" s="110"/>
      <c r="G61" s="110"/>
    </row>
    <row r="62" spans="1:7" ht="21.95" customHeight="1" x14ac:dyDescent="0.2">
      <c r="A62" s="124" t="s">
        <v>246</v>
      </c>
      <c r="B62" s="91">
        <v>43000000</v>
      </c>
      <c r="C62" s="376"/>
      <c r="D62" s="130"/>
      <c r="F62" s="110"/>
      <c r="G62" s="110"/>
    </row>
    <row r="63" spans="1:7" ht="21.95" customHeight="1" x14ac:dyDescent="0.2">
      <c r="A63" s="94" t="s">
        <v>100</v>
      </c>
      <c r="B63" s="91">
        <v>43100000</v>
      </c>
      <c r="C63" s="375">
        <v>15460000</v>
      </c>
      <c r="D63" s="97"/>
      <c r="F63" s="110"/>
      <c r="G63" s="110"/>
    </row>
    <row r="64" spans="1:7" ht="21.95" customHeight="1" x14ac:dyDescent="0.2">
      <c r="A64" s="96" t="s">
        <v>624</v>
      </c>
      <c r="B64" s="91">
        <v>43100000</v>
      </c>
      <c r="C64" s="92"/>
      <c r="D64" s="98"/>
      <c r="F64" s="110"/>
      <c r="G64" s="110"/>
    </row>
    <row r="65" spans="1:7" ht="21.95" customHeight="1" x14ac:dyDescent="0.2">
      <c r="A65" s="96" t="s">
        <v>657</v>
      </c>
      <c r="B65" s="91">
        <v>43100000</v>
      </c>
      <c r="C65" s="97"/>
      <c r="D65" s="105">
        <f>1294200+1294200+1294200+1294200</f>
        <v>5176800</v>
      </c>
      <c r="F65" s="110"/>
      <c r="G65" s="110"/>
    </row>
    <row r="66" spans="1:7" ht="21.95" customHeight="1" x14ac:dyDescent="0.2">
      <c r="A66" s="96" t="s">
        <v>625</v>
      </c>
      <c r="B66" s="91">
        <v>43100000</v>
      </c>
      <c r="C66" s="97"/>
      <c r="D66" s="105">
        <f>247200+247200+247200+247200+69600</f>
        <v>1058400</v>
      </c>
      <c r="F66" s="110"/>
      <c r="G66" s="110"/>
    </row>
    <row r="67" spans="1:7" ht="21.95" customHeight="1" x14ac:dyDescent="0.2">
      <c r="A67" s="96" t="s">
        <v>658</v>
      </c>
      <c r="B67" s="91">
        <v>43100000</v>
      </c>
      <c r="C67" s="97"/>
      <c r="D67" s="105">
        <f>3000+3000+3000+3000</f>
        <v>12000</v>
      </c>
      <c r="F67" s="374"/>
      <c r="G67" s="110"/>
    </row>
    <row r="68" spans="1:7" ht="21.95" customHeight="1" x14ac:dyDescent="0.2">
      <c r="A68" s="112" t="s">
        <v>626</v>
      </c>
      <c r="B68" s="91">
        <v>43100000</v>
      </c>
      <c r="C68" s="97"/>
      <c r="D68" s="105">
        <f>487020+528420+522270+486090+39260</f>
        <v>2063060</v>
      </c>
      <c r="F68" s="374"/>
      <c r="G68" s="110"/>
    </row>
    <row r="69" spans="1:7" ht="21.95" customHeight="1" x14ac:dyDescent="0.2">
      <c r="A69" s="131" t="s">
        <v>627</v>
      </c>
      <c r="B69" s="132">
        <v>43100000</v>
      </c>
      <c r="C69" s="128"/>
      <c r="D69" s="133">
        <v>316200</v>
      </c>
      <c r="F69" s="110"/>
      <c r="G69" s="110"/>
    </row>
    <row r="70" spans="1:7" ht="21.95" customHeight="1" x14ac:dyDescent="0.2">
      <c r="A70" s="397"/>
      <c r="B70" s="91"/>
      <c r="C70" s="136"/>
      <c r="D70" s="398"/>
      <c r="F70" s="110"/>
      <c r="G70" s="110"/>
    </row>
    <row r="71" spans="1:7" ht="21.95" customHeight="1" x14ac:dyDescent="0.2">
      <c r="A71" s="397"/>
      <c r="B71" s="91"/>
      <c r="C71" s="136"/>
      <c r="D71" s="398"/>
      <c r="F71" s="110"/>
      <c r="G71" s="110"/>
    </row>
    <row r="72" spans="1:7" ht="21.95" customHeight="1" x14ac:dyDescent="0.2">
      <c r="A72" s="134"/>
      <c r="B72" s="135"/>
      <c r="C72" s="136"/>
      <c r="D72" s="377" t="s">
        <v>247</v>
      </c>
      <c r="E72" s="137"/>
      <c r="F72" s="110"/>
      <c r="G72" s="110"/>
    </row>
    <row r="73" spans="1:7" ht="21.95" customHeight="1" x14ac:dyDescent="0.2">
      <c r="A73" s="89" t="s">
        <v>0</v>
      </c>
      <c r="B73" s="87" t="s">
        <v>1</v>
      </c>
      <c r="C73" s="88" t="s">
        <v>46</v>
      </c>
      <c r="D73" s="138" t="s">
        <v>39</v>
      </c>
      <c r="F73" s="110"/>
      <c r="G73" s="110"/>
    </row>
    <row r="74" spans="1:7" ht="21.95" customHeight="1" x14ac:dyDescent="0.2">
      <c r="A74" s="94" t="s">
        <v>100</v>
      </c>
      <c r="B74" s="119"/>
      <c r="C74" s="116"/>
      <c r="D74" s="105"/>
      <c r="F74" s="110"/>
      <c r="G74" s="110"/>
    </row>
    <row r="75" spans="1:7" ht="21.95" customHeight="1" x14ac:dyDescent="0.4">
      <c r="A75" s="378" t="s">
        <v>659</v>
      </c>
      <c r="B75" s="102">
        <v>43100000</v>
      </c>
      <c r="C75" s="97"/>
      <c r="D75" s="105">
        <f>241800+228200+225600+184800</f>
        <v>880400</v>
      </c>
      <c r="F75" s="379" t="s">
        <v>628</v>
      </c>
      <c r="G75" s="380"/>
    </row>
    <row r="76" spans="1:7" ht="21.95" customHeight="1" x14ac:dyDescent="0.4">
      <c r="A76" s="142" t="s">
        <v>629</v>
      </c>
      <c r="B76" s="102">
        <v>43100000</v>
      </c>
      <c r="C76" s="97"/>
      <c r="D76" s="105">
        <f>306000+342000+324000+320460+6540</f>
        <v>1299000</v>
      </c>
      <c r="F76" s="381" t="s">
        <v>630</v>
      </c>
      <c r="G76" s="110"/>
    </row>
    <row r="77" spans="1:7" ht="21.95" customHeight="1" x14ac:dyDescent="0.2">
      <c r="A77" s="378" t="s">
        <v>660</v>
      </c>
      <c r="B77" s="91">
        <v>43100000</v>
      </c>
      <c r="C77" s="116"/>
      <c r="D77" s="105">
        <f>89104+91019+90061+80080</f>
        <v>350264</v>
      </c>
      <c r="E77" s="139"/>
      <c r="F77" s="110"/>
      <c r="G77" s="110"/>
    </row>
    <row r="78" spans="1:7" ht="21.95" customHeight="1" x14ac:dyDescent="0.2">
      <c r="A78" s="127" t="s">
        <v>631</v>
      </c>
      <c r="B78" s="91">
        <v>43100000</v>
      </c>
      <c r="C78" s="116"/>
      <c r="D78" s="105">
        <f>146589+163835+155212+154344+14463</f>
        <v>634443</v>
      </c>
      <c r="E78" s="140"/>
      <c r="F78" s="110"/>
      <c r="G78" s="110"/>
    </row>
    <row r="79" spans="1:7" ht="21.95" customHeight="1" x14ac:dyDescent="0.2">
      <c r="A79" s="96" t="s">
        <v>248</v>
      </c>
      <c r="B79" s="91">
        <v>43100000</v>
      </c>
      <c r="C79" s="116"/>
      <c r="D79" s="105">
        <v>0</v>
      </c>
      <c r="F79" s="110"/>
      <c r="G79" s="110"/>
    </row>
    <row r="80" spans="1:7" ht="21.95" customHeight="1" x14ac:dyDescent="0.2">
      <c r="A80" s="382" t="s">
        <v>632</v>
      </c>
      <c r="B80" s="91">
        <v>43100002</v>
      </c>
      <c r="C80" s="116"/>
      <c r="D80" s="105">
        <v>240000</v>
      </c>
      <c r="F80" s="110"/>
      <c r="G80" s="110"/>
    </row>
    <row r="81" spans="1:7" ht="21.95" customHeight="1" x14ac:dyDescent="0.4">
      <c r="A81" s="383" t="s">
        <v>633</v>
      </c>
      <c r="B81" s="91"/>
      <c r="C81" s="116"/>
      <c r="D81" s="105">
        <f>5430+5400+13410+60</f>
        <v>24300</v>
      </c>
      <c r="F81" s="379" t="s">
        <v>634</v>
      </c>
      <c r="G81" s="380"/>
    </row>
    <row r="82" spans="1:7" ht="21.95" customHeight="1" x14ac:dyDescent="0.4">
      <c r="A82" s="383" t="s">
        <v>635</v>
      </c>
      <c r="B82" s="91"/>
      <c r="C82" s="116"/>
      <c r="D82" s="105">
        <f>543+540+1341+2430</f>
        <v>4854</v>
      </c>
      <c r="F82" s="379" t="s">
        <v>634</v>
      </c>
      <c r="G82" s="110"/>
    </row>
    <row r="83" spans="1:7" ht="21.95" customHeight="1" x14ac:dyDescent="0.2">
      <c r="A83" s="96" t="s">
        <v>636</v>
      </c>
      <c r="B83" s="91">
        <v>43100002</v>
      </c>
      <c r="C83" s="92"/>
      <c r="D83" s="97">
        <f>1374808+1374808</f>
        <v>2749616</v>
      </c>
      <c r="F83" s="110"/>
      <c r="G83" s="110"/>
    </row>
    <row r="84" spans="1:7" ht="21.95" customHeight="1" x14ac:dyDescent="0.2">
      <c r="A84" s="96" t="s">
        <v>637</v>
      </c>
      <c r="B84" s="91"/>
      <c r="C84" s="92"/>
      <c r="D84" s="128"/>
      <c r="F84" s="110"/>
      <c r="G84" s="110"/>
    </row>
    <row r="85" spans="1:7" ht="21.95" customHeight="1" thickBot="1" x14ac:dyDescent="0.25">
      <c r="A85" s="122" t="s">
        <v>101</v>
      </c>
      <c r="B85" s="119"/>
      <c r="C85" s="372">
        <f>SUM(C63)</f>
        <v>15460000</v>
      </c>
      <c r="D85" s="384">
        <f>SUM(D64:D83)</f>
        <v>14809337</v>
      </c>
      <c r="F85" s="110"/>
      <c r="G85" s="110"/>
    </row>
    <row r="86" spans="1:7" ht="21.95" customHeight="1" x14ac:dyDescent="0.2">
      <c r="A86" s="141" t="s">
        <v>96</v>
      </c>
      <c r="B86" s="119"/>
      <c r="C86" s="372">
        <f>SUM(C12+C26+C30+C33+C43+C46+C60+C63)</f>
        <v>30742510</v>
      </c>
      <c r="D86" s="385">
        <f>SUM(D61+D85)</f>
        <v>33866469.420000002</v>
      </c>
      <c r="F86" s="110">
        <v>33866469.420000002</v>
      </c>
      <c r="G86" s="110"/>
    </row>
    <row r="87" spans="1:7" ht="21.95" customHeight="1" x14ac:dyDescent="0.2">
      <c r="A87" s="386" t="s">
        <v>638</v>
      </c>
      <c r="B87" s="119"/>
      <c r="C87" s="92"/>
      <c r="D87" s="387"/>
      <c r="F87" s="110"/>
      <c r="G87" s="110"/>
    </row>
    <row r="88" spans="1:7" ht="21.95" customHeight="1" x14ac:dyDescent="0.2">
      <c r="A88" s="94" t="s">
        <v>249</v>
      </c>
      <c r="B88" s="91">
        <v>44100000</v>
      </c>
      <c r="C88" s="92"/>
      <c r="D88" s="98"/>
      <c r="F88" s="110"/>
      <c r="G88" s="110"/>
    </row>
    <row r="89" spans="1:7" ht="21.95" customHeight="1" x14ac:dyDescent="0.2">
      <c r="A89" s="96" t="s">
        <v>656</v>
      </c>
      <c r="B89" s="91"/>
      <c r="C89" s="97"/>
      <c r="D89" s="98"/>
      <c r="F89" s="110"/>
      <c r="G89" s="110"/>
    </row>
    <row r="90" spans="1:7" ht="21.95" customHeight="1" x14ac:dyDescent="0.2">
      <c r="A90" s="112" t="s">
        <v>639</v>
      </c>
      <c r="B90" s="91">
        <v>44100001</v>
      </c>
      <c r="C90" s="92"/>
      <c r="D90" s="98">
        <f>1495000</f>
        <v>1495000</v>
      </c>
      <c r="E90" s="367" t="s">
        <v>640</v>
      </c>
      <c r="F90" s="110"/>
      <c r="G90" s="110"/>
    </row>
    <row r="91" spans="1:7" ht="21.95" customHeight="1" x14ac:dyDescent="0.2">
      <c r="A91" s="378" t="s">
        <v>641</v>
      </c>
      <c r="B91" s="91">
        <v>44100002</v>
      </c>
      <c r="C91" s="92"/>
      <c r="D91" s="98">
        <v>498000</v>
      </c>
      <c r="E91" s="367" t="s">
        <v>640</v>
      </c>
      <c r="F91" s="110"/>
      <c r="G91" s="110"/>
    </row>
    <row r="92" spans="1:7" ht="21.95" customHeight="1" x14ac:dyDescent="0.2">
      <c r="A92" s="112" t="s">
        <v>642</v>
      </c>
      <c r="B92" s="91">
        <v>44100003</v>
      </c>
      <c r="C92" s="92"/>
      <c r="D92" s="98">
        <v>158000</v>
      </c>
      <c r="E92" s="367" t="s">
        <v>640</v>
      </c>
      <c r="F92" s="110"/>
      <c r="G92" s="110"/>
    </row>
    <row r="93" spans="1:7" ht="21.95" customHeight="1" x14ac:dyDescent="0.2">
      <c r="A93" s="112" t="s">
        <v>643</v>
      </c>
      <c r="B93" s="91">
        <v>44100004</v>
      </c>
      <c r="C93" s="97"/>
      <c r="D93" s="98">
        <v>100000</v>
      </c>
      <c r="E93" s="367" t="s">
        <v>640</v>
      </c>
      <c r="F93" s="110"/>
      <c r="G93" s="110"/>
    </row>
    <row r="94" spans="1:7" ht="21.95" customHeight="1" x14ac:dyDescent="0.4">
      <c r="A94" s="378" t="s">
        <v>644</v>
      </c>
      <c r="B94" s="91">
        <v>44100005</v>
      </c>
      <c r="C94" s="92"/>
      <c r="D94" s="98">
        <v>495000</v>
      </c>
      <c r="E94" s="388" t="s">
        <v>645</v>
      </c>
      <c r="F94" s="110"/>
      <c r="G94" s="110"/>
    </row>
    <row r="95" spans="1:7" ht="21.95" customHeight="1" x14ac:dyDescent="0.2">
      <c r="A95" s="378" t="s">
        <v>646</v>
      </c>
      <c r="B95" s="91">
        <v>44100006</v>
      </c>
      <c r="C95" s="92"/>
      <c r="D95" s="98">
        <v>1083000</v>
      </c>
      <c r="E95" s="367" t="s">
        <v>647</v>
      </c>
      <c r="F95" s="110"/>
      <c r="G95" s="110"/>
    </row>
    <row r="96" spans="1:7" ht="21.95" customHeight="1" x14ac:dyDescent="0.2">
      <c r="A96" s="378" t="s">
        <v>648</v>
      </c>
      <c r="B96" s="91">
        <v>44100007</v>
      </c>
      <c r="C96" s="92"/>
      <c r="D96" s="98">
        <v>4980000</v>
      </c>
      <c r="E96" s="85" t="s">
        <v>649</v>
      </c>
      <c r="F96" s="110"/>
      <c r="G96" s="110"/>
    </row>
    <row r="97" spans="1:7" ht="21.95" customHeight="1" x14ac:dyDescent="0.2">
      <c r="A97" s="378" t="s">
        <v>650</v>
      </c>
      <c r="B97" s="91">
        <v>44100008</v>
      </c>
      <c r="C97" s="92"/>
      <c r="D97" s="98">
        <v>1247500</v>
      </c>
      <c r="E97" s="367" t="s">
        <v>651</v>
      </c>
      <c r="F97" s="110"/>
      <c r="G97" s="110"/>
    </row>
    <row r="98" spans="1:7" ht="21.95" customHeight="1" x14ac:dyDescent="0.2">
      <c r="A98" s="378" t="s">
        <v>652</v>
      </c>
      <c r="B98" s="91">
        <v>44100009</v>
      </c>
      <c r="C98" s="92"/>
      <c r="D98" s="98">
        <v>400000</v>
      </c>
      <c r="E98" s="367" t="s">
        <v>653</v>
      </c>
      <c r="F98" s="110"/>
      <c r="G98" s="110"/>
    </row>
    <row r="99" spans="1:7" ht="21.95" customHeight="1" x14ac:dyDescent="0.2">
      <c r="A99" s="378" t="s">
        <v>654</v>
      </c>
      <c r="B99" s="91">
        <v>441000010</v>
      </c>
      <c r="C99" s="92"/>
      <c r="D99" s="98">
        <v>1378500</v>
      </c>
      <c r="E99" s="367" t="s">
        <v>655</v>
      </c>
      <c r="F99" s="110"/>
      <c r="G99" s="110"/>
    </row>
    <row r="100" spans="1:7" ht="21.95" customHeight="1" x14ac:dyDescent="0.2">
      <c r="A100" s="101" t="s">
        <v>14</v>
      </c>
      <c r="B100" s="389"/>
      <c r="C100" s="390"/>
      <c r="D100" s="123">
        <f>SUM(D90:D99)</f>
        <v>11835000</v>
      </c>
      <c r="F100" s="110"/>
      <c r="G100" s="110"/>
    </row>
    <row r="101" spans="1:7" ht="21.95" customHeight="1" x14ac:dyDescent="0.2">
      <c r="A101" s="122" t="s">
        <v>97</v>
      </c>
      <c r="B101" s="391"/>
      <c r="C101" s="392"/>
      <c r="D101" s="123">
        <f>SUM(D90:D99)</f>
        <v>11835000</v>
      </c>
      <c r="F101" s="374"/>
      <c r="G101" s="110"/>
    </row>
    <row r="102" spans="1:7" ht="20.100000000000001" customHeight="1" x14ac:dyDescent="0.2">
      <c r="A102" s="143"/>
      <c r="B102" s="144"/>
      <c r="C102" s="120"/>
      <c r="D102" s="145"/>
      <c r="F102" s="110"/>
      <c r="G102" s="110"/>
    </row>
    <row r="103" spans="1:7" ht="20.100000000000001" customHeight="1" x14ac:dyDescent="0.2">
      <c r="A103" s="143"/>
      <c r="B103" s="144"/>
      <c r="C103" s="120"/>
      <c r="D103" s="145"/>
      <c r="F103" s="110"/>
      <c r="G103" s="110"/>
    </row>
    <row r="104" spans="1:7" ht="20.100000000000001" customHeight="1" x14ac:dyDescent="0.2">
      <c r="A104" s="295"/>
      <c r="B104" s="393"/>
      <c r="C104" s="394"/>
      <c r="D104" s="395"/>
      <c r="F104" s="110"/>
      <c r="G104" s="110"/>
    </row>
    <row r="105" spans="1:7" ht="20.100000000000001" customHeight="1" x14ac:dyDescent="0.2">
      <c r="A105" s="295"/>
      <c r="B105" s="393"/>
      <c r="C105" s="394"/>
      <c r="D105" s="396"/>
      <c r="F105" s="110"/>
      <c r="G105" s="110"/>
    </row>
    <row r="106" spans="1:7" ht="20.100000000000001" customHeight="1" x14ac:dyDescent="0.2">
      <c r="A106" s="295"/>
      <c r="B106" s="295"/>
      <c r="C106" s="394"/>
      <c r="D106" s="396"/>
      <c r="F106" s="110"/>
      <c r="G106" s="110"/>
    </row>
  </sheetData>
  <mergeCells count="4">
    <mergeCell ref="A1:D1"/>
    <mergeCell ref="A2:D2"/>
    <mergeCell ref="A3:D3"/>
    <mergeCell ref="A4:D4"/>
  </mergeCells>
  <pageMargins left="0.7" right="0.13" top="0.62" bottom="0.44" header="0.3" footer="0.21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C40" zoomScaleNormal="100" workbookViewId="0">
      <selection activeCell="J53" sqref="J53"/>
    </sheetView>
  </sheetViews>
  <sheetFormatPr defaultRowHeight="21.75" x14ac:dyDescent="0.5"/>
  <cols>
    <col min="1" max="1" width="7.7109375" customWidth="1"/>
    <col min="2" max="2" width="41" customWidth="1"/>
    <col min="3" max="3" width="17.28515625" customWidth="1"/>
    <col min="4" max="4" width="15.28515625" style="411" customWidth="1"/>
    <col min="5" max="5" width="3.140625" style="325" customWidth="1"/>
    <col min="6" max="6" width="15.140625" customWidth="1"/>
    <col min="7" max="7" width="9.140625" style="1"/>
    <col min="8" max="8" width="12.85546875" style="1" customWidth="1"/>
    <col min="9" max="13" width="9.140625" style="1"/>
  </cols>
  <sheetData>
    <row r="1" spans="1:9" ht="27.95" customHeight="1" x14ac:dyDescent="0.55000000000000004">
      <c r="A1" s="720" t="s">
        <v>179</v>
      </c>
      <c r="B1" s="720"/>
      <c r="C1" s="720"/>
      <c r="D1" s="720"/>
      <c r="E1" s="720"/>
      <c r="F1" s="720"/>
    </row>
    <row r="2" spans="1:9" ht="27.95" customHeight="1" x14ac:dyDescent="0.55000000000000004">
      <c r="A2" s="720" t="s">
        <v>671</v>
      </c>
      <c r="B2" s="720"/>
      <c r="C2" s="720"/>
      <c r="D2" s="720"/>
      <c r="E2" s="720"/>
      <c r="F2" s="720"/>
    </row>
    <row r="3" spans="1:9" ht="27.95" customHeight="1" x14ac:dyDescent="0.55000000000000004">
      <c r="A3" s="721" t="s">
        <v>608</v>
      </c>
      <c r="B3" s="721"/>
      <c r="C3" s="721"/>
      <c r="D3" s="721"/>
      <c r="E3" s="721"/>
      <c r="F3" s="721"/>
    </row>
    <row r="4" spans="1:9" ht="24" customHeight="1" x14ac:dyDescent="0.55000000000000004">
      <c r="A4" s="728" t="s">
        <v>0</v>
      </c>
      <c r="B4" s="729"/>
      <c r="C4" s="722" t="s">
        <v>46</v>
      </c>
      <c r="D4" s="724" t="s">
        <v>19</v>
      </c>
      <c r="E4" s="326" t="s">
        <v>185</v>
      </c>
      <c r="F4" s="40" t="s">
        <v>17</v>
      </c>
    </row>
    <row r="5" spans="1:9" ht="24" customHeight="1" x14ac:dyDescent="0.55000000000000004">
      <c r="A5" s="730"/>
      <c r="B5" s="731"/>
      <c r="C5" s="723"/>
      <c r="D5" s="725"/>
      <c r="E5" s="327" t="s">
        <v>3</v>
      </c>
      <c r="F5" s="41" t="s">
        <v>18</v>
      </c>
    </row>
    <row r="6" spans="1:9" ht="24" customHeight="1" x14ac:dyDescent="0.55000000000000004">
      <c r="A6" s="346" t="s">
        <v>250</v>
      </c>
      <c r="B6" s="318"/>
      <c r="C6" s="35"/>
      <c r="D6" s="399"/>
      <c r="E6" s="328"/>
      <c r="F6" s="35"/>
    </row>
    <row r="7" spans="1:9" ht="26.1" customHeight="1" x14ac:dyDescent="0.55000000000000004">
      <c r="A7" s="347" t="s">
        <v>186</v>
      </c>
      <c r="B7" s="316"/>
      <c r="C7" s="56"/>
      <c r="D7" s="399"/>
      <c r="E7" s="328"/>
      <c r="F7" s="35"/>
    </row>
    <row r="8" spans="1:9" ht="26.1" customHeight="1" x14ac:dyDescent="0.55000000000000004">
      <c r="A8" s="248"/>
      <c r="B8" s="316" t="s">
        <v>81</v>
      </c>
      <c r="C8" s="55">
        <v>558600</v>
      </c>
      <c r="D8" s="400">
        <f>504480.19+40229.84+22670+12144.75</f>
        <v>579524.78</v>
      </c>
      <c r="E8" s="328" t="s">
        <v>3</v>
      </c>
      <c r="F8" s="57">
        <f t="shared" ref="F8:F14" si="0">SUM(D8-C8)</f>
        <v>20924.780000000028</v>
      </c>
    </row>
    <row r="9" spans="1:9" ht="26.1" customHeight="1" x14ac:dyDescent="0.55000000000000004">
      <c r="A9" s="248"/>
      <c r="B9" s="316" t="s">
        <v>251</v>
      </c>
      <c r="C9" s="55">
        <v>2144910</v>
      </c>
      <c r="D9" s="400">
        <f>2595005.17+85836.6</f>
        <v>2680841.77</v>
      </c>
      <c r="E9" s="328" t="s">
        <v>3</v>
      </c>
      <c r="F9" s="57">
        <f t="shared" si="0"/>
        <v>535931.77</v>
      </c>
    </row>
    <row r="10" spans="1:9" ht="26.1" customHeight="1" x14ac:dyDescent="0.55000000000000004">
      <c r="A10" s="248"/>
      <c r="B10" s="316" t="s">
        <v>38</v>
      </c>
      <c r="C10" s="55">
        <v>704000</v>
      </c>
      <c r="D10" s="400">
        <v>114550.56</v>
      </c>
      <c r="E10" s="328" t="s">
        <v>3</v>
      </c>
      <c r="F10" s="57">
        <f t="shared" si="0"/>
        <v>-589449.43999999994</v>
      </c>
    </row>
    <row r="11" spans="1:9" ht="26.1" customHeight="1" x14ac:dyDescent="0.55000000000000004">
      <c r="A11" s="248"/>
      <c r="B11" s="316" t="s">
        <v>87</v>
      </c>
      <c r="C11" s="348">
        <v>350000</v>
      </c>
      <c r="D11" s="401">
        <v>511242</v>
      </c>
      <c r="E11" s="328" t="s">
        <v>185</v>
      </c>
      <c r="F11" s="57">
        <f t="shared" si="0"/>
        <v>161242</v>
      </c>
    </row>
    <row r="12" spans="1:9" ht="26.1" customHeight="1" x14ac:dyDescent="0.55000000000000004">
      <c r="A12" s="248"/>
      <c r="B12" s="316" t="s">
        <v>88</v>
      </c>
      <c r="C12" s="55">
        <v>44500</v>
      </c>
      <c r="D12" s="400">
        <v>21335.62</v>
      </c>
      <c r="E12" s="328" t="s">
        <v>185</v>
      </c>
      <c r="F12" s="57">
        <f t="shared" si="0"/>
        <v>-23164.38</v>
      </c>
    </row>
    <row r="13" spans="1:9" ht="26.1" customHeight="1" x14ac:dyDescent="0.55000000000000004">
      <c r="A13" s="248"/>
      <c r="B13" s="316" t="s">
        <v>103</v>
      </c>
      <c r="C13" s="348">
        <v>3500</v>
      </c>
      <c r="D13" s="401">
        <v>0</v>
      </c>
      <c r="E13" s="328" t="s">
        <v>185</v>
      </c>
      <c r="F13" s="57">
        <f t="shared" si="0"/>
        <v>-3500</v>
      </c>
    </row>
    <row r="14" spans="1:9" ht="26.1" customHeight="1" x14ac:dyDescent="0.55000000000000004">
      <c r="A14" s="248"/>
      <c r="B14" s="316" t="s">
        <v>90</v>
      </c>
      <c r="C14" s="55">
        <v>11477000</v>
      </c>
      <c r="D14" s="400">
        <v>15149637.689999999</v>
      </c>
      <c r="E14" s="328" t="s">
        <v>185</v>
      </c>
      <c r="F14" s="57">
        <f t="shared" si="0"/>
        <v>3672637.6899999995</v>
      </c>
    </row>
    <row r="15" spans="1:9" ht="26.1" customHeight="1" x14ac:dyDescent="0.55000000000000004">
      <c r="A15" s="249"/>
      <c r="B15" s="305" t="s">
        <v>100</v>
      </c>
      <c r="C15" s="55">
        <v>15460000</v>
      </c>
      <c r="D15" s="400">
        <v>14809337</v>
      </c>
      <c r="E15" s="328" t="s">
        <v>185</v>
      </c>
      <c r="F15" s="57">
        <f>SUM(D15-C15)</f>
        <v>-650663</v>
      </c>
    </row>
    <row r="16" spans="1:9" ht="26.1" customHeight="1" thickBot="1" x14ac:dyDescent="0.6">
      <c r="A16" s="732" t="s">
        <v>187</v>
      </c>
      <c r="B16" s="733"/>
      <c r="C16" s="58">
        <f>SUM(C8:C15)</f>
        <v>30742510</v>
      </c>
      <c r="D16" s="402">
        <f>SUM(D8:D15)</f>
        <v>33866469.420000002</v>
      </c>
      <c r="E16" s="168" t="s">
        <v>22</v>
      </c>
      <c r="F16" s="59">
        <f>SUM(D16-C16)</f>
        <v>3123959.4200000018</v>
      </c>
      <c r="H16" s="1">
        <v>32465949.129999999</v>
      </c>
      <c r="I16" s="1" t="s">
        <v>197</v>
      </c>
    </row>
    <row r="17" spans="1:9" ht="26.1" customHeight="1" thickTop="1" x14ac:dyDescent="0.55000000000000004">
      <c r="A17" s="6" t="s">
        <v>193</v>
      </c>
      <c r="B17" s="6"/>
      <c r="C17" s="6"/>
      <c r="D17" s="403">
        <f>100000+9584000</f>
        <v>9684000</v>
      </c>
      <c r="E17" s="295"/>
      <c r="F17" s="6"/>
      <c r="H17" s="1">
        <v>10017</v>
      </c>
      <c r="I17" s="1" t="s">
        <v>198</v>
      </c>
    </row>
    <row r="18" spans="1:9" ht="26.1" customHeight="1" x14ac:dyDescent="0.55000000000000004">
      <c r="A18" s="6" t="s">
        <v>194</v>
      </c>
      <c r="B18" s="6"/>
      <c r="C18" s="6"/>
      <c r="D18" s="399">
        <f>SUM(D17)</f>
        <v>9684000</v>
      </c>
      <c r="E18" s="295"/>
      <c r="F18" s="61"/>
      <c r="H18" s="1">
        <v>177648.05</v>
      </c>
      <c r="I18" s="1" t="s">
        <v>199</v>
      </c>
    </row>
    <row r="19" spans="1:9" ht="26.1" customHeight="1" thickBot="1" x14ac:dyDescent="0.6">
      <c r="A19" s="6"/>
      <c r="B19" s="49" t="s">
        <v>188</v>
      </c>
      <c r="C19" s="6"/>
      <c r="D19" s="404">
        <f>SUM(D16+D18)</f>
        <v>43550469.420000002</v>
      </c>
      <c r="E19" s="295"/>
      <c r="F19" s="6"/>
      <c r="H19" s="66">
        <f>SUM(H16:H18)</f>
        <v>32653614.18</v>
      </c>
      <c r="I19" s="1" t="s">
        <v>200</v>
      </c>
    </row>
    <row r="20" spans="1:9" ht="24" customHeight="1" thickTop="1" x14ac:dyDescent="0.55000000000000004">
      <c r="A20" s="6"/>
      <c r="B20" s="6"/>
      <c r="C20" s="6"/>
      <c r="D20" s="405"/>
      <c r="E20" s="295"/>
      <c r="F20" s="6"/>
    </row>
    <row r="21" spans="1:9" ht="24" customHeight="1" x14ac:dyDescent="0.55000000000000004">
      <c r="A21" s="6"/>
      <c r="B21" s="6"/>
      <c r="C21" s="6"/>
      <c r="D21" s="405"/>
      <c r="E21" s="295"/>
      <c r="F21" s="6"/>
    </row>
    <row r="22" spans="1:9" ht="24" customHeight="1" x14ac:dyDescent="0.55000000000000004">
      <c r="A22" s="6"/>
      <c r="B22" s="6"/>
      <c r="C22" s="6"/>
      <c r="D22" s="405"/>
      <c r="E22" s="295"/>
      <c r="F22" s="6"/>
    </row>
    <row r="23" spans="1:9" ht="24" customHeight="1" x14ac:dyDescent="0.55000000000000004">
      <c r="A23" s="6"/>
      <c r="B23" s="6"/>
      <c r="C23" s="6"/>
      <c r="D23" s="405"/>
      <c r="E23" s="295"/>
      <c r="F23" s="6"/>
    </row>
    <row r="24" spans="1:9" ht="24" customHeight="1" x14ac:dyDescent="0.55000000000000004">
      <c r="A24" s="6"/>
      <c r="B24" s="6"/>
      <c r="C24" s="6"/>
      <c r="D24" s="405"/>
      <c r="E24" s="295"/>
      <c r="F24" s="6"/>
    </row>
    <row r="25" spans="1:9" ht="24" customHeight="1" x14ac:dyDescent="0.55000000000000004">
      <c r="A25" s="6"/>
      <c r="B25" s="6"/>
      <c r="C25" s="6"/>
      <c r="D25" s="405"/>
      <c r="E25" s="295"/>
      <c r="F25" s="6"/>
    </row>
    <row r="26" spans="1:9" ht="24" customHeight="1" x14ac:dyDescent="0.55000000000000004">
      <c r="A26" s="6"/>
      <c r="B26" s="6"/>
      <c r="C26" s="6"/>
      <c r="D26" s="405"/>
      <c r="E26" s="295"/>
      <c r="F26" s="6"/>
    </row>
    <row r="27" spans="1:9" ht="24" customHeight="1" x14ac:dyDescent="0.55000000000000004">
      <c r="A27" s="6"/>
      <c r="B27" s="6"/>
      <c r="C27" s="6"/>
      <c r="D27" s="405"/>
      <c r="E27" s="295"/>
      <c r="F27" s="6"/>
    </row>
    <row r="28" spans="1:9" ht="24" customHeight="1" x14ac:dyDescent="0.55000000000000004">
      <c r="A28" s="6"/>
      <c r="B28" s="6"/>
      <c r="C28" s="6"/>
      <c r="D28" s="405"/>
      <c r="E28" s="295"/>
      <c r="F28" s="6"/>
    </row>
    <row r="29" spans="1:9" ht="24" customHeight="1" x14ac:dyDescent="0.55000000000000004">
      <c r="A29" s="6"/>
      <c r="B29" s="6"/>
      <c r="C29" s="6"/>
      <c r="D29" s="405"/>
      <c r="E29" s="295"/>
      <c r="F29" s="6"/>
    </row>
    <row r="30" spans="1:9" ht="27.95" customHeight="1" x14ac:dyDescent="0.55000000000000004">
      <c r="A30" s="720" t="s">
        <v>179</v>
      </c>
      <c r="B30" s="720"/>
      <c r="C30" s="720"/>
      <c r="D30" s="720"/>
      <c r="E30" s="720"/>
      <c r="F30" s="720"/>
    </row>
    <row r="31" spans="1:9" ht="27.95" customHeight="1" x14ac:dyDescent="0.55000000000000004">
      <c r="A31" s="720" t="s">
        <v>671</v>
      </c>
      <c r="B31" s="720"/>
      <c r="C31" s="720"/>
      <c r="D31" s="720"/>
      <c r="E31" s="720"/>
      <c r="F31" s="720"/>
    </row>
    <row r="32" spans="1:9" ht="27.95" customHeight="1" x14ac:dyDescent="0.55000000000000004">
      <c r="A32" s="721" t="s">
        <v>608</v>
      </c>
      <c r="B32" s="721"/>
      <c r="C32" s="721"/>
      <c r="D32" s="721"/>
      <c r="E32" s="721"/>
      <c r="F32" s="721"/>
    </row>
    <row r="33" spans="1:6" ht="24" customHeight="1" x14ac:dyDescent="0.55000000000000004">
      <c r="A33" s="728" t="s">
        <v>0</v>
      </c>
      <c r="B33" s="729"/>
      <c r="C33" s="722" t="s">
        <v>46</v>
      </c>
      <c r="D33" s="726" t="s">
        <v>20</v>
      </c>
      <c r="E33" s="256" t="s">
        <v>185</v>
      </c>
      <c r="F33" s="40" t="s">
        <v>17</v>
      </c>
    </row>
    <row r="34" spans="1:6" ht="24" customHeight="1" x14ac:dyDescent="0.55000000000000004">
      <c r="A34" s="730"/>
      <c r="B34" s="731"/>
      <c r="C34" s="723"/>
      <c r="D34" s="727"/>
      <c r="E34" s="329" t="s">
        <v>3</v>
      </c>
      <c r="F34" s="41" t="s">
        <v>18</v>
      </c>
    </row>
    <row r="35" spans="1:6" ht="26.1" customHeight="1" x14ac:dyDescent="0.55000000000000004">
      <c r="A35" s="347" t="s">
        <v>16</v>
      </c>
      <c r="B35" s="316"/>
      <c r="C35" s="63"/>
      <c r="D35" s="406"/>
      <c r="E35" s="164"/>
      <c r="F35" s="56"/>
    </row>
    <row r="36" spans="1:6" ht="26.1" customHeight="1" x14ac:dyDescent="0.55000000000000004">
      <c r="A36" s="248"/>
      <c r="B36" s="316" t="s">
        <v>252</v>
      </c>
      <c r="C36" s="56">
        <v>7021819</v>
      </c>
      <c r="D36" s="399">
        <v>6956428.9000000004</v>
      </c>
      <c r="E36" s="164" t="s">
        <v>3</v>
      </c>
      <c r="F36" s="56">
        <f t="shared" ref="F36:F45" si="1">SUM(C36-D36)</f>
        <v>65390.099999999627</v>
      </c>
    </row>
    <row r="37" spans="1:6" ht="26.1" customHeight="1" x14ac:dyDescent="0.55000000000000004">
      <c r="A37" s="248"/>
      <c r="B37" s="316" t="s">
        <v>253</v>
      </c>
      <c r="C37" s="56">
        <v>2624640</v>
      </c>
      <c r="D37" s="399">
        <v>2624640</v>
      </c>
      <c r="E37" s="164" t="s">
        <v>3</v>
      </c>
      <c r="F37" s="56">
        <f t="shared" si="1"/>
        <v>0</v>
      </c>
    </row>
    <row r="38" spans="1:6" ht="26.1" customHeight="1" x14ac:dyDescent="0.55000000000000004">
      <c r="A38" s="248"/>
      <c r="B38" s="316" t="s">
        <v>254</v>
      </c>
      <c r="C38" s="56">
        <v>7245330</v>
      </c>
      <c r="D38" s="399">
        <v>7008182</v>
      </c>
      <c r="E38" s="164" t="s">
        <v>3</v>
      </c>
      <c r="F38" s="56">
        <f t="shared" si="1"/>
        <v>237148</v>
      </c>
    </row>
    <row r="39" spans="1:6" ht="26.1" customHeight="1" x14ac:dyDescent="0.55000000000000004">
      <c r="A39" s="248"/>
      <c r="B39" s="316" t="s">
        <v>255</v>
      </c>
      <c r="C39" s="56">
        <v>316500</v>
      </c>
      <c r="D39" s="399">
        <v>251830</v>
      </c>
      <c r="E39" s="164" t="s">
        <v>3</v>
      </c>
      <c r="F39" s="56">
        <f t="shared" si="1"/>
        <v>64670</v>
      </c>
    </row>
    <row r="40" spans="1:6" ht="26.1" customHeight="1" x14ac:dyDescent="0.55000000000000004">
      <c r="A40" s="248"/>
      <c r="B40" s="316" t="s">
        <v>256</v>
      </c>
      <c r="C40" s="56">
        <v>6253000</v>
      </c>
      <c r="D40" s="399">
        <f>5772793.69+25000+21000+7000</f>
        <v>5825793.6900000004</v>
      </c>
      <c r="E40" s="164" t="s">
        <v>3</v>
      </c>
      <c r="F40" s="56">
        <f t="shared" si="1"/>
        <v>427206.30999999959</v>
      </c>
    </row>
    <row r="41" spans="1:6" ht="26.1" customHeight="1" x14ac:dyDescent="0.55000000000000004">
      <c r="A41" s="248"/>
      <c r="B41" s="316" t="s">
        <v>257</v>
      </c>
      <c r="C41" s="56">
        <v>2528421</v>
      </c>
      <c r="D41" s="399">
        <f>2313467.74+600+6329.96</f>
        <v>2320397.7000000002</v>
      </c>
      <c r="E41" s="164" t="s">
        <v>3</v>
      </c>
      <c r="F41" s="56">
        <f t="shared" si="1"/>
        <v>208023.29999999981</v>
      </c>
    </row>
    <row r="42" spans="1:6" ht="26.1" customHeight="1" x14ac:dyDescent="0.55000000000000004">
      <c r="A42" s="248"/>
      <c r="B42" s="316" t="s">
        <v>258</v>
      </c>
      <c r="C42" s="56">
        <v>937000</v>
      </c>
      <c r="D42" s="399">
        <v>895120.09</v>
      </c>
      <c r="E42" s="164" t="s">
        <v>3</v>
      </c>
      <c r="F42" s="56">
        <f t="shared" si="1"/>
        <v>41879.910000000033</v>
      </c>
    </row>
    <row r="43" spans="1:6" ht="26.1" customHeight="1" x14ac:dyDescent="0.55000000000000004">
      <c r="A43" s="248"/>
      <c r="B43" s="316" t="s">
        <v>259</v>
      </c>
      <c r="C43" s="56">
        <v>1076300</v>
      </c>
      <c r="D43" s="399">
        <v>1020344.48</v>
      </c>
      <c r="E43" s="164" t="s">
        <v>3</v>
      </c>
      <c r="F43" s="56">
        <f t="shared" si="1"/>
        <v>55955.520000000019</v>
      </c>
    </row>
    <row r="44" spans="1:6" ht="26.1" customHeight="1" x14ac:dyDescent="0.55000000000000004">
      <c r="A44" s="248"/>
      <c r="B44" s="316" t="s">
        <v>260</v>
      </c>
      <c r="C44" s="56">
        <v>662000</v>
      </c>
      <c r="D44" s="399">
        <v>660500</v>
      </c>
      <c r="E44" s="164" t="s">
        <v>3</v>
      </c>
      <c r="F44" s="56">
        <f t="shared" si="1"/>
        <v>1500</v>
      </c>
    </row>
    <row r="45" spans="1:6" ht="26.1" customHeight="1" x14ac:dyDescent="0.55000000000000004">
      <c r="A45" s="249"/>
      <c r="B45" s="305" t="s">
        <v>261</v>
      </c>
      <c r="C45" s="56">
        <v>2080200</v>
      </c>
      <c r="D45" s="399">
        <v>1919200</v>
      </c>
      <c r="E45" s="164" t="s">
        <v>189</v>
      </c>
      <c r="F45" s="56">
        <f t="shared" si="1"/>
        <v>161000</v>
      </c>
    </row>
    <row r="46" spans="1:6" ht="26.1" customHeight="1" thickBot="1" x14ac:dyDescent="0.6">
      <c r="A46" s="732" t="s">
        <v>190</v>
      </c>
      <c r="B46" s="733"/>
      <c r="C46" s="62">
        <f>SUM(C36:C45)</f>
        <v>30745210</v>
      </c>
      <c r="D46" s="407">
        <f>SUM(D36:D45)</f>
        <v>29482436.859999999</v>
      </c>
      <c r="E46" s="167" t="s">
        <v>189</v>
      </c>
      <c r="F46" s="64">
        <f>SUM(F36:F45)</f>
        <v>1262773.1399999992</v>
      </c>
    </row>
    <row r="47" spans="1:6" ht="26.1" customHeight="1" thickTop="1" x14ac:dyDescent="0.55000000000000004">
      <c r="A47" s="717" t="s">
        <v>195</v>
      </c>
      <c r="B47" s="717"/>
      <c r="C47" s="735"/>
      <c r="D47" s="408">
        <f>100000+9584000</f>
        <v>9684000</v>
      </c>
      <c r="E47" s="3"/>
      <c r="F47" s="6"/>
    </row>
    <row r="48" spans="1:6" ht="26.1" customHeight="1" x14ac:dyDescent="0.55000000000000004">
      <c r="A48" s="6" t="s">
        <v>196</v>
      </c>
      <c r="B48" s="6"/>
      <c r="C48" s="6"/>
      <c r="D48" s="408">
        <f>SUM(D47)</f>
        <v>9684000</v>
      </c>
      <c r="E48" s="3"/>
      <c r="F48" s="6"/>
    </row>
    <row r="49" spans="1:13" ht="26.1" customHeight="1" x14ac:dyDescent="0.55000000000000004">
      <c r="A49" s="6"/>
      <c r="B49" s="49" t="s">
        <v>191</v>
      </c>
      <c r="C49" s="6"/>
      <c r="D49" s="407">
        <f>SUM(D46+D48)</f>
        <v>39166436.859999999</v>
      </c>
      <c r="E49" s="3"/>
      <c r="F49" s="6"/>
    </row>
    <row r="50" spans="1:13" ht="26.1" customHeight="1" x14ac:dyDescent="0.55000000000000004">
      <c r="A50" s="6"/>
      <c r="B50" s="33" t="s">
        <v>47</v>
      </c>
      <c r="C50" s="6"/>
      <c r="D50" s="402">
        <f>+D19-D49</f>
        <v>4384032.5600000024</v>
      </c>
      <c r="E50" s="3"/>
      <c r="F50" s="6"/>
    </row>
    <row r="51" spans="1:13" ht="26.1" customHeight="1" x14ac:dyDescent="0.55000000000000004">
      <c r="A51" s="6"/>
      <c r="B51" s="33" t="s">
        <v>192</v>
      </c>
      <c r="C51" s="6"/>
      <c r="D51" s="399"/>
      <c r="E51" s="3"/>
      <c r="F51" s="6"/>
    </row>
    <row r="52" spans="1:13" ht="26.1" customHeight="1" x14ac:dyDescent="0.55000000000000004">
      <c r="A52" s="6"/>
      <c r="B52" s="54" t="s">
        <v>48</v>
      </c>
      <c r="C52" s="6"/>
      <c r="D52" s="409"/>
      <c r="E52" s="3"/>
      <c r="F52" s="6"/>
    </row>
    <row r="53" spans="1:13" ht="24" customHeight="1" x14ac:dyDescent="0.55000000000000004">
      <c r="A53" s="6"/>
      <c r="B53" s="33"/>
      <c r="C53" s="6"/>
      <c r="D53" s="410"/>
      <c r="E53" s="3"/>
      <c r="F53" s="6"/>
    </row>
    <row r="54" spans="1:13" s="4" customFormat="1" ht="26.1" customHeight="1" x14ac:dyDescent="0.55000000000000004">
      <c r="A54" s="734"/>
      <c r="B54" s="734"/>
      <c r="C54" s="734"/>
      <c r="D54" s="734"/>
      <c r="E54" s="734"/>
      <c r="F54" s="734"/>
      <c r="G54" s="66"/>
      <c r="H54" s="66"/>
      <c r="I54" s="66"/>
      <c r="J54" s="66"/>
      <c r="K54" s="66"/>
      <c r="L54" s="66"/>
      <c r="M54" s="66"/>
    </row>
    <row r="55" spans="1:13" s="4" customFormat="1" ht="24" customHeight="1" x14ac:dyDescent="0.55000000000000004">
      <c r="A55" s="734"/>
      <c r="B55" s="734"/>
      <c r="C55" s="734"/>
      <c r="D55" s="734"/>
      <c r="E55" s="734"/>
      <c r="F55" s="734"/>
      <c r="G55" s="66"/>
      <c r="H55" s="66"/>
      <c r="I55" s="66"/>
      <c r="J55" s="66"/>
      <c r="K55" s="66"/>
      <c r="L55" s="66"/>
      <c r="M55" s="66"/>
    </row>
    <row r="56" spans="1:13" s="4" customFormat="1" ht="24" customHeight="1" x14ac:dyDescent="0.55000000000000004">
      <c r="A56" s="734"/>
      <c r="B56" s="734"/>
      <c r="C56" s="734"/>
      <c r="D56" s="734"/>
      <c r="E56" s="734"/>
      <c r="F56" s="734"/>
      <c r="G56" s="66"/>
      <c r="H56" s="66"/>
      <c r="I56" s="66"/>
      <c r="J56" s="66"/>
      <c r="K56" s="66"/>
      <c r="L56" s="66"/>
      <c r="M56" s="66"/>
    </row>
    <row r="57" spans="1:13" s="4" customFormat="1" ht="24" customHeight="1" x14ac:dyDescent="0.55000000000000004">
      <c r="A57" s="734"/>
      <c r="B57" s="734"/>
      <c r="C57" s="734"/>
      <c r="D57" s="410"/>
      <c r="E57" s="324"/>
      <c r="F57" s="65"/>
      <c r="G57" s="66"/>
      <c r="H57" s="66"/>
      <c r="I57" s="66"/>
      <c r="J57" s="66"/>
      <c r="K57" s="66"/>
      <c r="L57" s="66"/>
      <c r="M57" s="66"/>
    </row>
    <row r="58" spans="1:13" ht="24" customHeight="1" x14ac:dyDescent="0.55000000000000004">
      <c r="A58" s="6"/>
      <c r="B58" s="33"/>
      <c r="C58" s="6"/>
      <c r="D58" s="410"/>
      <c r="E58" s="3"/>
      <c r="F58" s="6"/>
    </row>
    <row r="59" spans="1:13" ht="24" customHeight="1" x14ac:dyDescent="0.55000000000000004">
      <c r="A59" s="6"/>
      <c r="B59" s="33"/>
      <c r="C59" s="6"/>
      <c r="D59" s="410"/>
      <c r="E59" s="3"/>
      <c r="F59" s="6"/>
    </row>
    <row r="60" spans="1:13" ht="24" customHeight="1" x14ac:dyDescent="0.55000000000000004">
      <c r="A60" s="6"/>
      <c r="B60" s="33"/>
      <c r="C60" s="6"/>
      <c r="D60" s="410"/>
      <c r="E60" s="3"/>
      <c r="F60" s="6"/>
    </row>
    <row r="61" spans="1:13" ht="24" customHeight="1" x14ac:dyDescent="0.55000000000000004">
      <c r="A61" s="6"/>
      <c r="B61" s="33"/>
      <c r="C61" s="6"/>
      <c r="D61" s="410"/>
      <c r="E61" s="3"/>
      <c r="F61" s="6"/>
    </row>
    <row r="62" spans="1:13" ht="24" customHeight="1" x14ac:dyDescent="0.55000000000000004">
      <c r="A62" s="6"/>
      <c r="B62" s="33"/>
      <c r="C62" s="6"/>
      <c r="D62" s="410"/>
      <c r="E62" s="3"/>
      <c r="F62" s="6"/>
    </row>
    <row r="63" spans="1:13" ht="21.95" customHeight="1" x14ac:dyDescent="0.55000000000000004">
      <c r="A63" s="6"/>
      <c r="B63" s="33"/>
      <c r="C63" s="6"/>
      <c r="D63" s="410"/>
      <c r="E63" s="3"/>
      <c r="F63" s="6"/>
    </row>
    <row r="64" spans="1:13" ht="21.95" customHeight="1" x14ac:dyDescent="0.55000000000000004">
      <c r="A64" s="6"/>
      <c r="B64" s="6"/>
      <c r="C64" s="6"/>
      <c r="D64" s="47"/>
      <c r="E64" s="3"/>
      <c r="F64" s="6"/>
    </row>
    <row r="65" spans="1:6" ht="21.95" customHeight="1" x14ac:dyDescent="0.55000000000000004">
      <c r="A65" s="6"/>
      <c r="B65" s="6"/>
      <c r="C65" s="6"/>
      <c r="D65" s="47"/>
      <c r="E65" s="3"/>
      <c r="F65" s="6"/>
    </row>
    <row r="66" spans="1:6" ht="21.95" customHeight="1" x14ac:dyDescent="0.55000000000000004">
      <c r="A66" s="52"/>
      <c r="B66" s="52"/>
      <c r="C66" s="6"/>
      <c r="D66" s="47"/>
      <c r="E66" s="3"/>
      <c r="F66" s="6"/>
    </row>
    <row r="67" spans="1:6" ht="21.95" customHeight="1" x14ac:dyDescent="0.55000000000000004">
      <c r="A67" s="6"/>
      <c r="B67" s="6"/>
      <c r="C67" s="6"/>
      <c r="D67" s="47"/>
      <c r="E67" s="3"/>
      <c r="F67" s="6"/>
    </row>
  </sheetData>
  <mergeCells count="19">
    <mergeCell ref="C33:C34"/>
    <mergeCell ref="D33:D34"/>
    <mergeCell ref="A4:B5"/>
    <mergeCell ref="A16:B16"/>
    <mergeCell ref="A57:C57"/>
    <mergeCell ref="A54:F54"/>
    <mergeCell ref="A55:F55"/>
    <mergeCell ref="A56:F56"/>
    <mergeCell ref="A47:C47"/>
    <mergeCell ref="A30:F30"/>
    <mergeCell ref="A31:F31"/>
    <mergeCell ref="A32:F32"/>
    <mergeCell ref="A33:B34"/>
    <mergeCell ref="A46:B46"/>
    <mergeCell ref="A1:F1"/>
    <mergeCell ref="A2:F2"/>
    <mergeCell ref="A3:F3"/>
    <mergeCell ref="C4:C5"/>
    <mergeCell ref="D4:D5"/>
  </mergeCells>
  <pageMargins left="0.37" right="0.11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view="pageBreakPreview" topLeftCell="A22" zoomScale="90" zoomScaleNormal="100" zoomScaleSheetLayoutView="90" workbookViewId="0">
      <selection activeCell="I56" sqref="I56"/>
    </sheetView>
  </sheetViews>
  <sheetFormatPr defaultRowHeight="12.75" x14ac:dyDescent="0.2"/>
  <cols>
    <col min="1" max="1" width="4.140625" style="411" customWidth="1"/>
    <col min="2" max="2" width="3.140625" style="411" customWidth="1"/>
    <col min="3" max="3" width="21.5703125" style="411" customWidth="1"/>
    <col min="4" max="4" width="9.140625" style="411"/>
    <col min="5" max="5" width="5.7109375" style="411" customWidth="1"/>
    <col min="6" max="6" width="9.7109375" style="411" customWidth="1"/>
    <col min="7" max="7" width="8.7109375" style="411" customWidth="1"/>
    <col min="8" max="8" width="1.7109375" style="411" customWidth="1"/>
    <col min="9" max="9" width="15.7109375" style="411" customWidth="1"/>
    <col min="10" max="10" width="0.85546875" style="431" customWidth="1"/>
    <col min="11" max="11" width="15.7109375" style="411" customWidth="1"/>
    <col min="12" max="16384" width="9.140625" style="411"/>
  </cols>
  <sheetData>
    <row r="1" spans="1:11" ht="24" x14ac:dyDescent="0.55000000000000004">
      <c r="A1" s="737" t="s">
        <v>179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</row>
    <row r="2" spans="1:11" ht="24" x14ac:dyDescent="0.55000000000000004">
      <c r="A2" s="737" t="s">
        <v>52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</row>
    <row r="3" spans="1:11" ht="24" x14ac:dyDescent="0.55000000000000004">
      <c r="A3" s="737" t="s">
        <v>597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</row>
    <row r="4" spans="1:11" ht="20.25" customHeight="1" x14ac:dyDescent="0.55000000000000004">
      <c r="A4" s="359"/>
      <c r="B4" s="359"/>
      <c r="C4" s="359"/>
      <c r="D4" s="359"/>
      <c r="E4" s="359"/>
      <c r="F4" s="359"/>
      <c r="G4" s="359"/>
      <c r="H4" s="359"/>
      <c r="I4" s="359"/>
      <c r="J4" s="413"/>
      <c r="K4" s="359"/>
    </row>
    <row r="5" spans="1:11" ht="24" x14ac:dyDescent="0.55000000000000004">
      <c r="A5" s="359"/>
      <c r="B5" s="359"/>
      <c r="C5" s="359"/>
      <c r="D5" s="359"/>
      <c r="E5" s="359"/>
      <c r="F5" s="359"/>
      <c r="G5" s="359" t="s">
        <v>33</v>
      </c>
      <c r="H5" s="359"/>
      <c r="I5" s="359" t="s">
        <v>662</v>
      </c>
      <c r="J5" s="413"/>
      <c r="K5" s="359" t="s">
        <v>661</v>
      </c>
    </row>
    <row r="6" spans="1:11" ht="24.75" thickBot="1" x14ac:dyDescent="0.6">
      <c r="A6" s="414" t="s">
        <v>146</v>
      </c>
      <c r="B6" s="414"/>
      <c r="C6" s="414"/>
      <c r="D6" s="414"/>
      <c r="E6" s="414"/>
      <c r="F6" s="414"/>
      <c r="G6" s="359">
        <v>2</v>
      </c>
      <c r="H6" s="359"/>
      <c r="I6" s="415">
        <v>16110652.4</v>
      </c>
      <c r="J6" s="416"/>
      <c r="K6" s="417">
        <v>17215352.399999999</v>
      </c>
    </row>
    <row r="7" spans="1:11" ht="24.75" thickTop="1" x14ac:dyDescent="0.55000000000000004">
      <c r="A7" s="414" t="s">
        <v>147</v>
      </c>
      <c r="B7" s="414"/>
      <c r="C7" s="414"/>
      <c r="D7" s="414"/>
      <c r="E7" s="414"/>
      <c r="F7" s="414"/>
      <c r="G7" s="47"/>
      <c r="H7" s="359"/>
      <c r="I7" s="414"/>
      <c r="J7" s="418"/>
      <c r="K7" s="414"/>
    </row>
    <row r="8" spans="1:11" ht="24" x14ac:dyDescent="0.55000000000000004">
      <c r="A8" s="414"/>
      <c r="B8" s="419" t="s">
        <v>148</v>
      </c>
      <c r="C8" s="414"/>
      <c r="D8" s="414"/>
      <c r="E8" s="414"/>
      <c r="F8" s="414"/>
      <c r="G8" s="359"/>
      <c r="H8" s="359"/>
      <c r="I8" s="414"/>
      <c r="J8" s="418"/>
      <c r="K8" s="414"/>
    </row>
    <row r="9" spans="1:11" ht="24" x14ac:dyDescent="0.55000000000000004">
      <c r="A9" s="47"/>
      <c r="B9" s="47"/>
      <c r="C9" s="47" t="s">
        <v>149</v>
      </c>
      <c r="D9" s="47"/>
      <c r="E9" s="47"/>
      <c r="F9" s="47"/>
      <c r="G9" s="359">
        <v>3</v>
      </c>
      <c r="H9" s="47"/>
      <c r="I9" s="420">
        <f>4177053.24+624929.21+8899043.27</f>
        <v>13701025.719999999</v>
      </c>
      <c r="J9" s="421"/>
      <c r="K9" s="475">
        <f>7187703.84+648684.68+8069643.89+132388.31</f>
        <v>16038420.720000001</v>
      </c>
    </row>
    <row r="10" spans="1:11" ht="24" x14ac:dyDescent="0.55000000000000004">
      <c r="A10" s="47"/>
      <c r="B10" s="47"/>
      <c r="C10" s="47" t="s">
        <v>150</v>
      </c>
      <c r="D10" s="47"/>
      <c r="E10" s="47"/>
      <c r="F10" s="47"/>
      <c r="G10" s="359"/>
      <c r="H10" s="47"/>
      <c r="I10" s="239">
        <v>0</v>
      </c>
      <c r="J10" s="410"/>
      <c r="K10" s="422"/>
    </row>
    <row r="11" spans="1:11" ht="24" x14ac:dyDescent="0.55000000000000004">
      <c r="A11" s="47"/>
      <c r="B11" s="47"/>
      <c r="C11" s="47" t="s">
        <v>151</v>
      </c>
      <c r="D11" s="47"/>
      <c r="E11" s="47"/>
      <c r="F11" s="47"/>
      <c r="G11" s="359">
        <v>4</v>
      </c>
      <c r="H11" s="239"/>
      <c r="I11" s="239">
        <v>923897.37</v>
      </c>
      <c r="J11" s="410"/>
      <c r="K11" s="475">
        <v>1209827.25</v>
      </c>
    </row>
    <row r="12" spans="1:11" ht="24" x14ac:dyDescent="0.55000000000000004">
      <c r="A12" s="47"/>
      <c r="B12" s="47"/>
      <c r="C12" s="47" t="s">
        <v>152</v>
      </c>
      <c r="D12" s="47"/>
      <c r="E12" s="47"/>
      <c r="F12" s="47"/>
      <c r="G12" s="359"/>
      <c r="H12" s="239"/>
      <c r="I12" s="239">
        <v>0</v>
      </c>
      <c r="J12" s="410"/>
      <c r="K12" s="422"/>
    </row>
    <row r="13" spans="1:11" ht="24" x14ac:dyDescent="0.55000000000000004">
      <c r="A13" s="47"/>
      <c r="B13" s="47"/>
      <c r="C13" s="47" t="s">
        <v>106</v>
      </c>
      <c r="D13" s="47"/>
      <c r="E13" s="47"/>
      <c r="F13" s="47"/>
      <c r="G13" s="359">
        <v>5</v>
      </c>
      <c r="H13" s="239"/>
      <c r="I13" s="239">
        <f>498000+1495000+158000</f>
        <v>2151000</v>
      </c>
      <c r="J13" s="410"/>
      <c r="K13" s="475">
        <f>495000+1083000+4980000+1247500+400000+1378500</f>
        <v>9584000</v>
      </c>
    </row>
    <row r="14" spans="1:11" ht="24" x14ac:dyDescent="0.55000000000000004">
      <c r="A14" s="47"/>
      <c r="B14" s="47"/>
      <c r="C14" s="47" t="s">
        <v>153</v>
      </c>
      <c r="D14" s="47"/>
      <c r="E14" s="47"/>
      <c r="F14" s="47"/>
      <c r="G14" s="359">
        <v>6</v>
      </c>
      <c r="H14" s="239"/>
      <c r="I14" s="239">
        <v>10017</v>
      </c>
      <c r="J14" s="410"/>
      <c r="K14" s="475">
        <f>10017-5625+12144.75</f>
        <v>16536.75</v>
      </c>
    </row>
    <row r="15" spans="1:11" ht="24" x14ac:dyDescent="0.55000000000000004">
      <c r="A15" s="47"/>
      <c r="B15" s="47"/>
      <c r="C15" s="47" t="s">
        <v>154</v>
      </c>
      <c r="D15" s="47"/>
      <c r="E15" s="47"/>
      <c r="F15" s="47"/>
      <c r="G15" s="359">
        <v>7</v>
      </c>
      <c r="H15" s="410"/>
      <c r="I15" s="239">
        <f>350167+177648.05</f>
        <v>527815.05000000005</v>
      </c>
      <c r="J15" s="410"/>
      <c r="K15" s="475">
        <f>456081+85836.6</f>
        <v>541917.6</v>
      </c>
    </row>
    <row r="16" spans="1:11" ht="24" x14ac:dyDescent="0.55000000000000004">
      <c r="A16" s="47"/>
      <c r="B16" s="47"/>
      <c r="C16" s="47" t="s">
        <v>155</v>
      </c>
      <c r="D16" s="47"/>
      <c r="E16" s="47"/>
      <c r="F16" s="47"/>
      <c r="G16" s="359"/>
      <c r="H16" s="239"/>
      <c r="I16" s="239">
        <v>0</v>
      </c>
      <c r="J16" s="410"/>
      <c r="K16" s="422"/>
    </row>
    <row r="17" spans="1:11" ht="24" x14ac:dyDescent="0.55000000000000004">
      <c r="A17" s="47"/>
      <c r="B17" s="47"/>
      <c r="C17" s="47" t="s">
        <v>156</v>
      </c>
      <c r="D17" s="47"/>
      <c r="E17" s="47"/>
      <c r="F17" s="47"/>
      <c r="G17" s="359"/>
      <c r="H17" s="239"/>
      <c r="I17" s="239">
        <v>0</v>
      </c>
      <c r="J17" s="410"/>
      <c r="K17" s="422"/>
    </row>
    <row r="18" spans="1:11" ht="24.75" thickBot="1" x14ac:dyDescent="0.6">
      <c r="A18" s="47"/>
      <c r="B18" s="47"/>
      <c r="C18" s="238" t="s">
        <v>157</v>
      </c>
      <c r="D18" s="47"/>
      <c r="E18" s="47"/>
      <c r="F18" s="47"/>
      <c r="G18" s="359"/>
      <c r="H18" s="239"/>
      <c r="I18" s="240">
        <f>SUM(I9:I17)</f>
        <v>17313755.139999997</v>
      </c>
      <c r="J18" s="405"/>
      <c r="K18" s="240">
        <f>SUM(K9:K17)</f>
        <v>27390702.32</v>
      </c>
    </row>
    <row r="19" spans="1:11" ht="12.75" customHeight="1" thickTop="1" x14ac:dyDescent="0.55000000000000004">
      <c r="A19" s="47"/>
      <c r="B19" s="47"/>
      <c r="C19" s="47"/>
      <c r="D19" s="47"/>
      <c r="E19" s="47"/>
      <c r="F19" s="47"/>
      <c r="G19" s="47"/>
      <c r="H19" s="47"/>
      <c r="I19" s="410"/>
      <c r="J19" s="410"/>
      <c r="K19" s="47"/>
    </row>
    <row r="20" spans="1:11" ht="24" x14ac:dyDescent="0.55000000000000004">
      <c r="A20" s="47"/>
      <c r="B20" s="418" t="s">
        <v>158</v>
      </c>
      <c r="C20" s="418"/>
      <c r="D20" s="418"/>
      <c r="E20" s="418"/>
      <c r="F20" s="418"/>
      <c r="G20" s="418"/>
      <c r="H20" s="418"/>
      <c r="I20" s="418"/>
      <c r="J20" s="418"/>
      <c r="K20" s="418"/>
    </row>
    <row r="21" spans="1:11" ht="24" x14ac:dyDescent="0.55000000000000004">
      <c r="A21" s="47"/>
      <c r="B21" s="47"/>
      <c r="C21" s="47" t="s">
        <v>159</v>
      </c>
      <c r="D21" s="47"/>
      <c r="E21" s="47"/>
      <c r="F21" s="47"/>
      <c r="G21" s="47"/>
      <c r="H21" s="47"/>
      <c r="I21" s="423">
        <v>0</v>
      </c>
      <c r="J21" s="423"/>
      <c r="K21" s="359"/>
    </row>
    <row r="22" spans="1:11" ht="24" x14ac:dyDescent="0.55000000000000004">
      <c r="A22" s="47"/>
      <c r="B22" s="47"/>
      <c r="C22" s="47" t="s">
        <v>160</v>
      </c>
      <c r="D22" s="47"/>
      <c r="E22" s="47"/>
      <c r="F22" s="47"/>
      <c r="G22" s="47"/>
      <c r="H22" s="47"/>
      <c r="I22" s="410">
        <v>0</v>
      </c>
      <c r="J22" s="410"/>
      <c r="K22" s="47"/>
    </row>
    <row r="23" spans="1:11" ht="24" x14ac:dyDescent="0.55000000000000004">
      <c r="A23" s="47"/>
      <c r="B23" s="47"/>
      <c r="C23" s="238" t="s">
        <v>161</v>
      </c>
      <c r="D23" s="47"/>
      <c r="E23" s="47"/>
      <c r="F23" s="47"/>
      <c r="G23" s="47"/>
      <c r="H23" s="47"/>
      <c r="I23" s="424">
        <v>0</v>
      </c>
      <c r="J23" s="405"/>
      <c r="K23" s="47"/>
    </row>
    <row r="24" spans="1:11" ht="24.75" thickBot="1" x14ac:dyDescent="0.6">
      <c r="A24" s="238" t="s">
        <v>162</v>
      </c>
      <c r="B24" s="47"/>
      <c r="C24" s="47"/>
      <c r="D24" s="47"/>
      <c r="E24" s="47"/>
      <c r="F24" s="47"/>
      <c r="G24" s="47"/>
      <c r="H24" s="47"/>
      <c r="I24" s="240">
        <f>SUM(I18+I23)</f>
        <v>17313755.139999997</v>
      </c>
      <c r="J24" s="405"/>
      <c r="K24" s="240">
        <f>SUM(K18:K23)</f>
        <v>27390702.32</v>
      </c>
    </row>
    <row r="25" spans="1:11" ht="19.5" customHeight="1" thickTop="1" x14ac:dyDescent="0.55000000000000004">
      <c r="A25" s="47"/>
      <c r="B25" s="47"/>
      <c r="C25" s="47"/>
      <c r="D25" s="47"/>
      <c r="E25" s="47"/>
      <c r="F25" s="47"/>
      <c r="G25" s="47"/>
      <c r="H25" s="47"/>
      <c r="I25" s="239"/>
      <c r="J25" s="410"/>
      <c r="K25" s="47"/>
    </row>
    <row r="26" spans="1:11" ht="24" x14ac:dyDescent="0.55000000000000004">
      <c r="A26" s="425" t="s">
        <v>163</v>
      </c>
      <c r="B26" s="47"/>
      <c r="C26" s="47"/>
      <c r="D26" s="47"/>
      <c r="E26" s="47"/>
      <c r="F26" s="47"/>
      <c r="G26" s="47"/>
      <c r="H26" s="47"/>
      <c r="I26" s="239"/>
      <c r="J26" s="410"/>
      <c r="K26" s="47"/>
    </row>
    <row r="27" spans="1:11" ht="24" x14ac:dyDescent="0.55000000000000004">
      <c r="A27" s="425"/>
      <c r="B27" s="47"/>
      <c r="C27" s="47"/>
      <c r="D27" s="47"/>
      <c r="E27" s="47"/>
      <c r="F27" s="47"/>
      <c r="G27" s="47"/>
      <c r="H27" s="47"/>
      <c r="I27" s="239"/>
      <c r="J27" s="410"/>
      <c r="K27" s="47"/>
    </row>
    <row r="28" spans="1:11" ht="15" customHeight="1" x14ac:dyDescent="0.55000000000000004">
      <c r="A28" s="425"/>
      <c r="B28" s="47"/>
      <c r="C28" s="47"/>
      <c r="D28" s="47"/>
      <c r="E28" s="47"/>
      <c r="F28" s="47"/>
      <c r="G28" s="47"/>
      <c r="H28" s="47"/>
      <c r="I28" s="239"/>
      <c r="J28" s="410"/>
      <c r="K28" s="47"/>
    </row>
    <row r="29" spans="1:11" ht="24" x14ac:dyDescent="0.55000000000000004">
      <c r="A29" s="739" t="s">
        <v>182</v>
      </c>
      <c r="B29" s="739"/>
      <c r="C29" s="739"/>
      <c r="D29" s="736" t="s">
        <v>814</v>
      </c>
      <c r="E29" s="736"/>
      <c r="F29" s="736"/>
      <c r="G29" s="427" t="s">
        <v>183</v>
      </c>
      <c r="H29" s="427"/>
      <c r="I29" s="427"/>
      <c r="J29" s="428"/>
      <c r="K29" s="47"/>
    </row>
    <row r="30" spans="1:11" ht="24" x14ac:dyDescent="0.55000000000000004">
      <c r="A30" s="736" t="s">
        <v>180</v>
      </c>
      <c r="B30" s="736"/>
      <c r="C30" s="736"/>
      <c r="D30" s="736" t="s">
        <v>180</v>
      </c>
      <c r="E30" s="736"/>
      <c r="F30" s="736"/>
      <c r="G30" s="738" t="s">
        <v>181</v>
      </c>
      <c r="H30" s="738"/>
      <c r="I30" s="738"/>
      <c r="J30" s="738"/>
      <c r="K30" s="738"/>
    </row>
    <row r="31" spans="1:11" ht="24" x14ac:dyDescent="0.55000000000000004">
      <c r="A31" s="736" t="s">
        <v>69</v>
      </c>
      <c r="B31" s="736"/>
      <c r="C31" s="736"/>
      <c r="D31" s="736" t="s">
        <v>576</v>
      </c>
      <c r="E31" s="736"/>
      <c r="F31" s="736"/>
      <c r="G31" s="736" t="s">
        <v>70</v>
      </c>
      <c r="H31" s="736"/>
      <c r="I31" s="736"/>
      <c r="J31" s="736"/>
      <c r="K31" s="736"/>
    </row>
    <row r="32" spans="1:11" ht="24" x14ac:dyDescent="0.55000000000000004">
      <c r="A32" s="736" t="s">
        <v>71</v>
      </c>
      <c r="B32" s="736"/>
      <c r="C32" s="736"/>
      <c r="D32" s="736"/>
      <c r="E32" s="736"/>
      <c r="F32" s="736"/>
      <c r="G32" s="736"/>
      <c r="H32" s="736"/>
      <c r="I32" s="736"/>
      <c r="J32" s="736"/>
      <c r="K32" s="736"/>
    </row>
    <row r="33" spans="1:11" ht="24" x14ac:dyDescent="0.55000000000000004">
      <c r="A33" s="737" t="s">
        <v>179</v>
      </c>
      <c r="B33" s="737"/>
      <c r="C33" s="737"/>
      <c r="D33" s="737"/>
      <c r="E33" s="737"/>
      <c r="F33" s="737"/>
      <c r="G33" s="737"/>
      <c r="H33" s="737"/>
      <c r="I33" s="737"/>
      <c r="J33" s="737"/>
      <c r="K33" s="737"/>
    </row>
    <row r="34" spans="1:11" ht="24" x14ac:dyDescent="0.55000000000000004">
      <c r="A34" s="737" t="s">
        <v>52</v>
      </c>
      <c r="B34" s="737"/>
      <c r="C34" s="737"/>
      <c r="D34" s="737"/>
      <c r="E34" s="737"/>
      <c r="F34" s="737"/>
      <c r="G34" s="737"/>
      <c r="H34" s="737"/>
      <c r="I34" s="737"/>
      <c r="J34" s="737"/>
      <c r="K34" s="737"/>
    </row>
    <row r="35" spans="1:11" ht="24" x14ac:dyDescent="0.55000000000000004">
      <c r="A35" s="737" t="s">
        <v>597</v>
      </c>
      <c r="B35" s="737"/>
      <c r="C35" s="737"/>
      <c r="D35" s="737"/>
      <c r="E35" s="737"/>
      <c r="F35" s="737"/>
      <c r="G35" s="737"/>
      <c r="H35" s="737"/>
      <c r="I35" s="737"/>
      <c r="J35" s="737"/>
      <c r="K35" s="737"/>
    </row>
    <row r="36" spans="1:11" ht="24" x14ac:dyDescent="0.55000000000000004">
      <c r="A36" s="359"/>
      <c r="B36" s="359"/>
      <c r="C36" s="359"/>
      <c r="D36" s="359"/>
      <c r="E36" s="359"/>
      <c r="F36" s="359"/>
      <c r="G36" s="359"/>
      <c r="H36" s="359"/>
      <c r="I36" s="359"/>
      <c r="J36" s="413"/>
      <c r="K36" s="359"/>
    </row>
    <row r="37" spans="1:11" ht="24" x14ac:dyDescent="0.55000000000000004">
      <c r="A37" s="359"/>
      <c r="B37" s="359"/>
      <c r="C37" s="359"/>
      <c r="D37" s="359"/>
      <c r="E37" s="359"/>
      <c r="F37" s="359"/>
      <c r="G37" s="359" t="s">
        <v>33</v>
      </c>
      <c r="H37" s="359"/>
      <c r="I37" s="359" t="s">
        <v>662</v>
      </c>
      <c r="J37" s="413"/>
      <c r="K37" s="359" t="s">
        <v>661</v>
      </c>
    </row>
    <row r="38" spans="1:11" ht="24.75" thickBot="1" x14ac:dyDescent="0.6">
      <c r="A38" s="419" t="s">
        <v>164</v>
      </c>
      <c r="B38" s="414"/>
      <c r="C38" s="414"/>
      <c r="D38" s="414"/>
      <c r="E38" s="414"/>
      <c r="F38" s="414"/>
      <c r="G38" s="359">
        <v>2</v>
      </c>
      <c r="H38" s="359"/>
      <c r="I38" s="415">
        <v>16110652.4</v>
      </c>
      <c r="J38" s="416"/>
      <c r="K38" s="417">
        <v>17215352.399999999</v>
      </c>
    </row>
    <row r="39" spans="1:11" ht="24.75" thickTop="1" x14ac:dyDescent="0.55000000000000004">
      <c r="A39" s="238" t="s">
        <v>165</v>
      </c>
      <c r="B39" s="47"/>
      <c r="C39" s="47"/>
      <c r="D39" s="47"/>
      <c r="E39" s="47"/>
      <c r="F39" s="47"/>
      <c r="G39" s="47"/>
      <c r="H39" s="47"/>
      <c r="I39" s="239">
        <v>0</v>
      </c>
      <c r="J39" s="410"/>
      <c r="K39" s="47"/>
    </row>
    <row r="40" spans="1:11" ht="24" x14ac:dyDescent="0.55000000000000004">
      <c r="A40" s="238"/>
      <c r="B40" s="238" t="s">
        <v>166</v>
      </c>
      <c r="C40" s="47"/>
      <c r="D40" s="47"/>
      <c r="E40" s="47"/>
      <c r="F40" s="47"/>
      <c r="G40" s="47"/>
      <c r="H40" s="47"/>
      <c r="I40" s="239"/>
      <c r="J40" s="410"/>
      <c r="K40" s="47"/>
    </row>
    <row r="41" spans="1:11" ht="24" x14ac:dyDescent="0.55000000000000004">
      <c r="A41" s="47"/>
      <c r="B41" s="47"/>
      <c r="C41" s="47" t="s">
        <v>167</v>
      </c>
      <c r="D41" s="47"/>
      <c r="E41" s="47"/>
      <c r="F41" s="47"/>
      <c r="G41" s="359">
        <v>8</v>
      </c>
      <c r="H41" s="47"/>
      <c r="I41" s="239">
        <f>256800+65654.1+286500+2151000</f>
        <v>2759954.1</v>
      </c>
      <c r="J41" s="410"/>
      <c r="K41" s="475">
        <f>59929.96+9584000</f>
        <v>9643929.9600000009</v>
      </c>
    </row>
    <row r="42" spans="1:11" ht="24" x14ac:dyDescent="0.55000000000000004">
      <c r="A42" s="47"/>
      <c r="B42" s="47"/>
      <c r="C42" s="47" t="s">
        <v>102</v>
      </c>
      <c r="D42" s="47"/>
      <c r="E42" s="47"/>
      <c r="F42" s="47"/>
      <c r="G42" s="359"/>
      <c r="H42" s="47"/>
      <c r="I42" s="239">
        <v>0</v>
      </c>
      <c r="J42" s="410"/>
      <c r="K42" s="47"/>
    </row>
    <row r="43" spans="1:11" ht="24" x14ac:dyDescent="0.55000000000000004">
      <c r="A43" s="47"/>
      <c r="B43" s="47"/>
      <c r="C43" s="47" t="s">
        <v>168</v>
      </c>
      <c r="D43" s="47"/>
      <c r="E43" s="47"/>
      <c r="F43" s="47"/>
      <c r="G43" s="359"/>
      <c r="H43" s="47"/>
      <c r="I43" s="239">
        <v>0</v>
      </c>
      <c r="J43" s="410"/>
      <c r="K43" s="47"/>
    </row>
    <row r="44" spans="1:11" ht="24" x14ac:dyDescent="0.55000000000000004">
      <c r="A44" s="47"/>
      <c r="B44" s="47"/>
      <c r="C44" s="47" t="s">
        <v>169</v>
      </c>
      <c r="D44" s="47"/>
      <c r="E44" s="47"/>
      <c r="F44" s="47"/>
      <c r="G44" s="359">
        <v>9</v>
      </c>
      <c r="H44" s="47"/>
      <c r="I44" s="239">
        <f>353455+9537.72+5150.41+34294.97+624929.21+320476+58422+53750</f>
        <v>1460015.31</v>
      </c>
      <c r="J44" s="410"/>
      <c r="K44" s="475">
        <f>617750+11655.49+5150.41+19265.25+647359.2+12976+126206+131185.31</f>
        <v>1571547.6600000001</v>
      </c>
    </row>
    <row r="45" spans="1:11" ht="24" x14ac:dyDescent="0.55000000000000004">
      <c r="A45" s="47"/>
      <c r="B45" s="47"/>
      <c r="C45" s="47" t="s">
        <v>170</v>
      </c>
      <c r="D45" s="47"/>
      <c r="E45" s="47"/>
      <c r="F45" s="47"/>
      <c r="G45" s="359"/>
      <c r="H45" s="47"/>
      <c r="I45" s="429">
        <v>0</v>
      </c>
      <c r="J45" s="410"/>
      <c r="K45" s="47"/>
    </row>
    <row r="46" spans="1:11" ht="24" x14ac:dyDescent="0.55000000000000004">
      <c r="A46" s="47"/>
      <c r="B46" s="47"/>
      <c r="C46" s="238" t="s">
        <v>171</v>
      </c>
      <c r="D46" s="47"/>
      <c r="E46" s="47"/>
      <c r="F46" s="47"/>
      <c r="G46" s="359"/>
      <c r="H46" s="47"/>
      <c r="I46" s="430">
        <f>SUM(I41:I45)</f>
        <v>4219969.41</v>
      </c>
      <c r="J46" s="405"/>
      <c r="K46" s="476">
        <f>SUM(K41:K45)</f>
        <v>11215477.620000001</v>
      </c>
    </row>
    <row r="47" spans="1:11" ht="24" x14ac:dyDescent="0.55000000000000004">
      <c r="A47" s="47"/>
      <c r="B47" s="238" t="s">
        <v>172</v>
      </c>
      <c r="C47" s="47"/>
      <c r="D47" s="47"/>
      <c r="E47" s="47"/>
      <c r="F47" s="47"/>
      <c r="G47" s="359"/>
      <c r="H47" s="47"/>
      <c r="I47" s="239"/>
      <c r="J47" s="410"/>
      <c r="K47" s="47"/>
    </row>
    <row r="48" spans="1:11" ht="24" x14ac:dyDescent="0.55000000000000004">
      <c r="A48" s="47"/>
      <c r="B48" s="238"/>
      <c r="C48" s="47" t="s">
        <v>173</v>
      </c>
      <c r="D48" s="47"/>
      <c r="E48" s="47"/>
      <c r="F48" s="47"/>
      <c r="G48" s="359"/>
      <c r="H48" s="47"/>
      <c r="I48" s="239">
        <v>0</v>
      </c>
      <c r="J48" s="410"/>
      <c r="K48" s="47"/>
    </row>
    <row r="49" spans="1:12" ht="24" x14ac:dyDescent="0.55000000000000004">
      <c r="A49" s="47"/>
      <c r="B49" s="238"/>
      <c r="C49" s="47" t="s">
        <v>174</v>
      </c>
      <c r="D49" s="47"/>
      <c r="E49" s="47"/>
      <c r="F49" s="47"/>
      <c r="G49" s="359"/>
      <c r="H49" s="47"/>
      <c r="I49" s="239">
        <v>0</v>
      </c>
      <c r="J49" s="410"/>
      <c r="K49" s="47"/>
    </row>
    <row r="50" spans="1:12" ht="24" x14ac:dyDescent="0.55000000000000004">
      <c r="A50" s="47"/>
      <c r="B50" s="238" t="s">
        <v>175</v>
      </c>
      <c r="C50" s="47"/>
      <c r="D50" s="47"/>
      <c r="E50" s="47"/>
      <c r="F50" s="47"/>
      <c r="G50" s="359"/>
      <c r="H50" s="47"/>
      <c r="I50" s="430">
        <f>SUM(I48:I49)</f>
        <v>0</v>
      </c>
      <c r="J50" s="405"/>
      <c r="K50" s="47"/>
    </row>
    <row r="51" spans="1:12" ht="24" x14ac:dyDescent="0.55000000000000004">
      <c r="A51" s="47"/>
      <c r="B51" s="238" t="s">
        <v>176</v>
      </c>
      <c r="C51" s="47"/>
      <c r="D51" s="47"/>
      <c r="E51" s="47"/>
      <c r="F51" s="47"/>
      <c r="G51" s="359"/>
      <c r="H51" s="47"/>
      <c r="I51" s="430">
        <f>SUM(I46+I50)</f>
        <v>4219969.41</v>
      </c>
      <c r="J51" s="405"/>
      <c r="K51" s="476">
        <f>SUM(K46:K50)</f>
        <v>11215477.620000001</v>
      </c>
    </row>
    <row r="52" spans="1:12" ht="24" x14ac:dyDescent="0.55000000000000004">
      <c r="A52" s="238" t="s">
        <v>11</v>
      </c>
      <c r="B52" s="238"/>
      <c r="C52" s="47"/>
      <c r="D52" s="47"/>
      <c r="E52" s="47"/>
      <c r="F52" s="47"/>
      <c r="G52" s="47"/>
      <c r="H52" s="47"/>
      <c r="I52" s="405"/>
      <c r="J52" s="405"/>
      <c r="K52" s="359"/>
    </row>
    <row r="53" spans="1:12" ht="24" x14ac:dyDescent="0.55000000000000004">
      <c r="A53" s="47"/>
      <c r="B53" s="47" t="s">
        <v>11</v>
      </c>
      <c r="C53" s="47"/>
      <c r="D53" s="47"/>
      <c r="E53" s="47"/>
      <c r="F53" s="47"/>
      <c r="G53" s="359">
        <v>10</v>
      </c>
      <c r="H53" s="47"/>
      <c r="I53" s="410">
        <v>6247257.4299999997</v>
      </c>
      <c r="J53" s="405"/>
      <c r="K53" s="475">
        <f>5593163.84+3288024.42</f>
        <v>8881188.2599999998</v>
      </c>
      <c r="L53" s="411" t="s">
        <v>184</v>
      </c>
    </row>
    <row r="54" spans="1:12" ht="24" x14ac:dyDescent="0.55000000000000004">
      <c r="A54" s="47"/>
      <c r="B54" s="47" t="s">
        <v>12</v>
      </c>
      <c r="C54" s="47"/>
      <c r="D54" s="47"/>
      <c r="E54" s="47"/>
      <c r="F54" s="47"/>
      <c r="G54" s="359">
        <v>11</v>
      </c>
      <c r="H54" s="47"/>
      <c r="I54" s="410">
        <v>6846528.2999999998</v>
      </c>
      <c r="J54" s="405"/>
      <c r="K54" s="475">
        <f>6198028.3+1096008.14</f>
        <v>7294036.4399999995</v>
      </c>
      <c r="L54" s="411" t="s">
        <v>184</v>
      </c>
    </row>
    <row r="55" spans="1:12" ht="24" x14ac:dyDescent="0.55000000000000004">
      <c r="A55" s="47"/>
      <c r="B55" s="238" t="s">
        <v>177</v>
      </c>
      <c r="C55" s="47"/>
      <c r="D55" s="47"/>
      <c r="E55" s="47"/>
      <c r="F55" s="47"/>
      <c r="G55" s="359"/>
      <c r="H55" s="47"/>
      <c r="I55" s="430">
        <f>SUM(I53:I54)</f>
        <v>13093785.73</v>
      </c>
      <c r="J55" s="405"/>
      <c r="K55" s="430">
        <f>SUM(K53:K54)</f>
        <v>16175224.699999999</v>
      </c>
    </row>
    <row r="56" spans="1:12" ht="24.75" thickBot="1" x14ac:dyDescent="0.6">
      <c r="A56" s="238" t="s">
        <v>178</v>
      </c>
      <c r="B56" s="238"/>
      <c r="C56" s="47"/>
      <c r="D56" s="47"/>
      <c r="E56" s="47"/>
      <c r="F56" s="47"/>
      <c r="G56" s="359"/>
      <c r="H56" s="47"/>
      <c r="I56" s="477">
        <f>SUM(I51+I55)</f>
        <v>17313755.140000001</v>
      </c>
      <c r="J56" s="405"/>
      <c r="K56" s="240">
        <f>SUM(K51+K55)</f>
        <v>27390702.32</v>
      </c>
    </row>
    <row r="57" spans="1:12" ht="18.75" customHeight="1" thickTop="1" x14ac:dyDescent="0.55000000000000004">
      <c r="A57" s="238"/>
      <c r="B57" s="238"/>
      <c r="C57" s="47"/>
      <c r="D57" s="47"/>
      <c r="E57" s="47"/>
      <c r="F57" s="47"/>
      <c r="G57" s="47"/>
      <c r="H57" s="47"/>
      <c r="I57" s="405"/>
      <c r="J57" s="405"/>
      <c r="K57" s="359"/>
    </row>
    <row r="58" spans="1:12" ht="24" x14ac:dyDescent="0.55000000000000004">
      <c r="A58" s="238" t="s">
        <v>163</v>
      </c>
      <c r="B58" s="47"/>
      <c r="C58" s="47"/>
      <c r="D58" s="47"/>
      <c r="E58" s="47"/>
      <c r="F58" s="47"/>
      <c r="G58" s="47"/>
      <c r="H58" s="47"/>
      <c r="I58" s="239"/>
      <c r="J58" s="410"/>
      <c r="K58" s="359"/>
    </row>
    <row r="59" spans="1:12" ht="15" customHeight="1" x14ac:dyDescent="0.55000000000000004">
      <c r="A59" s="238"/>
      <c r="B59" s="47"/>
      <c r="C59" s="47"/>
      <c r="D59" s="47"/>
      <c r="E59" s="47"/>
      <c r="F59" s="47"/>
      <c r="G59" s="47"/>
      <c r="H59" s="47"/>
      <c r="I59" s="239"/>
      <c r="J59" s="410"/>
      <c r="K59" s="359"/>
    </row>
    <row r="60" spans="1:12" ht="24" x14ac:dyDescent="0.55000000000000004">
      <c r="A60" s="739" t="s">
        <v>182</v>
      </c>
      <c r="B60" s="739"/>
      <c r="C60" s="739"/>
      <c r="D60" s="736" t="s">
        <v>815</v>
      </c>
      <c r="E60" s="736"/>
      <c r="F60" s="736"/>
      <c r="G60" s="427" t="s">
        <v>183</v>
      </c>
      <c r="H60" s="427"/>
      <c r="I60" s="427"/>
      <c r="J60" s="428"/>
      <c r="K60" s="47"/>
    </row>
    <row r="61" spans="1:12" ht="24" x14ac:dyDescent="0.55000000000000004">
      <c r="A61" s="736" t="s">
        <v>180</v>
      </c>
      <c r="B61" s="736"/>
      <c r="C61" s="736"/>
      <c r="D61" s="736" t="s">
        <v>180</v>
      </c>
      <c r="E61" s="736"/>
      <c r="F61" s="736"/>
      <c r="G61" s="738" t="s">
        <v>181</v>
      </c>
      <c r="H61" s="738"/>
      <c r="I61" s="738"/>
      <c r="J61" s="738"/>
      <c r="K61" s="738"/>
    </row>
    <row r="62" spans="1:12" ht="24" x14ac:dyDescent="0.55000000000000004">
      <c r="A62" s="736" t="s">
        <v>69</v>
      </c>
      <c r="B62" s="736"/>
      <c r="C62" s="736"/>
      <c r="D62" s="740" t="s">
        <v>576</v>
      </c>
      <c r="E62" s="740"/>
      <c r="F62" s="740"/>
      <c r="G62" s="736" t="s">
        <v>70</v>
      </c>
      <c r="H62" s="736"/>
      <c r="I62" s="736"/>
      <c r="J62" s="736"/>
      <c r="K62" s="736"/>
    </row>
    <row r="63" spans="1:12" ht="24" x14ac:dyDescent="0.55000000000000004">
      <c r="A63" s="736" t="s">
        <v>71</v>
      </c>
      <c r="B63" s="736"/>
      <c r="C63" s="736"/>
      <c r="D63" s="736"/>
      <c r="E63" s="736"/>
      <c r="F63" s="736"/>
      <c r="G63" s="736"/>
      <c r="H63" s="736"/>
      <c r="I63" s="736"/>
      <c r="J63" s="736"/>
      <c r="K63" s="736"/>
    </row>
  </sheetData>
  <mergeCells count="28">
    <mergeCell ref="G63:K63"/>
    <mergeCell ref="D32:F32"/>
    <mergeCell ref="A29:C29"/>
    <mergeCell ref="D29:F29"/>
    <mergeCell ref="A60:C60"/>
    <mergeCell ref="D60:F60"/>
    <mergeCell ref="D63:F63"/>
    <mergeCell ref="A35:K35"/>
    <mergeCell ref="A61:C61"/>
    <mergeCell ref="D61:F61"/>
    <mergeCell ref="A63:C63"/>
    <mergeCell ref="G61:K61"/>
    <mergeCell ref="A62:C62"/>
    <mergeCell ref="D62:F62"/>
    <mergeCell ref="G62:K62"/>
    <mergeCell ref="A31:C31"/>
    <mergeCell ref="A1:K1"/>
    <mergeCell ref="A2:K2"/>
    <mergeCell ref="A3:K3"/>
    <mergeCell ref="A30:C30"/>
    <mergeCell ref="D30:F30"/>
    <mergeCell ref="G30:K30"/>
    <mergeCell ref="D31:F31"/>
    <mergeCell ref="G31:K31"/>
    <mergeCell ref="G32:K32"/>
    <mergeCell ref="A33:K33"/>
    <mergeCell ref="A34:K34"/>
    <mergeCell ref="A32:C32"/>
  </mergeCells>
  <pageMargins left="0.56000000000000005" right="0.24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="90" zoomScaleNormal="100" zoomScaleSheetLayoutView="90" workbookViewId="0">
      <selection activeCell="D10" sqref="D10"/>
    </sheetView>
  </sheetViews>
  <sheetFormatPr defaultRowHeight="23.1" customHeight="1" x14ac:dyDescent="0.55000000000000004"/>
  <cols>
    <col min="1" max="1" width="23.85546875" style="9" customWidth="1"/>
    <col min="2" max="3" width="13.7109375" style="9" customWidth="1"/>
    <col min="4" max="5" width="12.7109375" style="9" customWidth="1"/>
    <col min="6" max="6" width="13.140625" style="9" customWidth="1"/>
    <col min="7" max="7" width="16.7109375" style="10" customWidth="1"/>
    <col min="8" max="8" width="26.85546875" style="11" customWidth="1"/>
    <col min="9" max="16384" width="9.140625" style="9"/>
  </cols>
  <sheetData>
    <row r="1" spans="1:8" ht="26.1" customHeight="1" x14ac:dyDescent="0.55000000000000004">
      <c r="A1" s="720" t="s">
        <v>53</v>
      </c>
      <c r="B1" s="720"/>
      <c r="C1" s="720"/>
      <c r="D1" s="720"/>
      <c r="E1" s="720"/>
      <c r="F1" s="720"/>
    </row>
    <row r="2" spans="1:8" ht="26.1" customHeight="1" x14ac:dyDescent="0.55000000000000004">
      <c r="A2" s="720" t="s">
        <v>107</v>
      </c>
      <c r="B2" s="720"/>
      <c r="C2" s="720"/>
      <c r="D2" s="720"/>
      <c r="E2" s="720"/>
      <c r="F2" s="720"/>
    </row>
    <row r="3" spans="1:8" ht="26.1" customHeight="1" x14ac:dyDescent="0.55000000000000004">
      <c r="A3" s="743" t="s">
        <v>598</v>
      </c>
      <c r="B3" s="743"/>
      <c r="C3" s="743"/>
      <c r="D3" s="743"/>
      <c r="E3" s="743"/>
      <c r="F3" s="743"/>
    </row>
    <row r="4" spans="1:8" ht="23.1" customHeight="1" x14ac:dyDescent="0.55000000000000004">
      <c r="A4" s="44"/>
      <c r="B4" s="44"/>
      <c r="C4" s="357"/>
      <c r="D4" s="44"/>
      <c r="E4" s="44"/>
    </row>
    <row r="5" spans="1:8" s="26" customFormat="1" ht="23.1" customHeight="1" x14ac:dyDescent="0.55000000000000004">
      <c r="A5" s="161" t="s">
        <v>268</v>
      </c>
      <c r="B5" s="44"/>
      <c r="C5" s="357"/>
      <c r="D5" s="44"/>
      <c r="E5" s="44"/>
      <c r="G5" s="27"/>
      <c r="H5" s="28"/>
    </row>
    <row r="6" spans="1:8" ht="23.1" customHeight="1" x14ac:dyDescent="0.55000000000000004">
      <c r="A6" s="722" t="s">
        <v>23</v>
      </c>
      <c r="B6" s="728" t="s">
        <v>269</v>
      </c>
      <c r="C6" s="729"/>
      <c r="D6" s="744" t="s">
        <v>589</v>
      </c>
      <c r="E6" s="752"/>
      <c r="F6" s="745"/>
    </row>
    <row r="7" spans="1:8" ht="23.1" customHeight="1" x14ac:dyDescent="0.55000000000000004">
      <c r="A7" s="723"/>
      <c r="B7" s="730"/>
      <c r="C7" s="731"/>
      <c r="D7" s="354" t="s">
        <v>55</v>
      </c>
      <c r="E7" s="744" t="s">
        <v>15</v>
      </c>
      <c r="F7" s="745"/>
    </row>
    <row r="8" spans="1:8" ht="23.1" customHeight="1" x14ac:dyDescent="0.55000000000000004">
      <c r="A8" s="162"/>
      <c r="B8" s="162">
        <v>2561</v>
      </c>
      <c r="C8" s="162">
        <v>2560</v>
      </c>
      <c r="D8" s="353"/>
      <c r="E8" s="353">
        <v>2561</v>
      </c>
      <c r="F8" s="441">
        <v>2560</v>
      </c>
    </row>
    <row r="9" spans="1:8" ht="23.1" customHeight="1" x14ac:dyDescent="0.55000000000000004">
      <c r="A9" s="358" t="s">
        <v>56</v>
      </c>
      <c r="B9" s="342"/>
      <c r="C9" s="342"/>
      <c r="D9" s="163"/>
      <c r="E9" s="163"/>
      <c r="F9" s="444"/>
    </row>
    <row r="10" spans="1:8" ht="23.1" customHeight="1" x14ac:dyDescent="0.55000000000000004">
      <c r="A10" s="16" t="s">
        <v>57</v>
      </c>
      <c r="B10" s="335">
        <v>120000</v>
      </c>
      <c r="C10" s="335">
        <v>120000</v>
      </c>
      <c r="D10" s="435" t="s">
        <v>58</v>
      </c>
      <c r="E10" s="335">
        <f>7042023+958599.4+1104700</f>
        <v>9105322.4000000004</v>
      </c>
      <c r="F10" s="335">
        <f>7042023+958599.4</f>
        <v>8000622.4000000004</v>
      </c>
      <c r="G10" s="335"/>
    </row>
    <row r="11" spans="1:8" ht="23.1" customHeight="1" x14ac:dyDescent="0.55000000000000004">
      <c r="A11" s="16" t="s">
        <v>59</v>
      </c>
      <c r="B11" s="335">
        <v>5047150</v>
      </c>
      <c r="C11" s="335">
        <v>5047150</v>
      </c>
      <c r="D11" s="435" t="s">
        <v>75</v>
      </c>
      <c r="E11" s="335">
        <f>849900+7715+7715+25900+25900+5000+5000+5000+5000+5000+5000+5000</f>
        <v>952130</v>
      </c>
      <c r="F11" s="335">
        <f>849900+7715+7715+25900+25900+5000+5000+5000+5000+5000+5000+5000</f>
        <v>952130</v>
      </c>
      <c r="G11" s="335"/>
    </row>
    <row r="12" spans="1:8" ht="23.1" customHeight="1" x14ac:dyDescent="0.55000000000000004">
      <c r="A12" s="16" t="s">
        <v>60</v>
      </c>
      <c r="B12" s="17" t="s">
        <v>6</v>
      </c>
      <c r="C12" s="17" t="s">
        <v>6</v>
      </c>
      <c r="D12" s="435" t="s">
        <v>74</v>
      </c>
      <c r="E12" s="335">
        <f>3465650+711250+1995000+939000</f>
        <v>7110900</v>
      </c>
      <c r="F12" s="335">
        <f>3465650+711250+1995000+939000</f>
        <v>7110900</v>
      </c>
      <c r="G12" s="17"/>
    </row>
    <row r="13" spans="1:8" ht="23.1" customHeight="1" x14ac:dyDescent="0.55000000000000004">
      <c r="A13" s="19" t="s">
        <v>61</v>
      </c>
      <c r="B13" s="335"/>
      <c r="C13" s="335"/>
      <c r="D13" s="435" t="s">
        <v>588</v>
      </c>
      <c r="E13" s="335">
        <f>29800+17200</f>
        <v>47000</v>
      </c>
      <c r="F13" s="335">
        <f>29800+17200</f>
        <v>47000</v>
      </c>
      <c r="G13" s="335"/>
    </row>
    <row r="14" spans="1:8" ht="23.1" customHeight="1" x14ac:dyDescent="0.55000000000000004">
      <c r="A14" s="16" t="s">
        <v>65</v>
      </c>
      <c r="B14" s="335">
        <f t="shared" ref="B14" si="0">42000+199000</f>
        <v>241000</v>
      </c>
      <c r="C14" s="335">
        <f>42000+199000</f>
        <v>241000</v>
      </c>
      <c r="D14" s="165"/>
      <c r="E14" s="343"/>
      <c r="F14" s="444"/>
      <c r="G14" s="335"/>
    </row>
    <row r="15" spans="1:8" ht="23.1" customHeight="1" x14ac:dyDescent="0.55000000000000004">
      <c r="A15" s="16" t="s">
        <v>63</v>
      </c>
      <c r="B15" s="335">
        <v>6859225</v>
      </c>
      <c r="C15" s="335">
        <v>6859225</v>
      </c>
      <c r="D15" s="165"/>
      <c r="E15" s="343"/>
      <c r="F15" s="444"/>
      <c r="G15" s="335"/>
    </row>
    <row r="16" spans="1:8" ht="23.1" customHeight="1" x14ac:dyDescent="0.55000000000000004">
      <c r="A16" s="16" t="s">
        <v>279</v>
      </c>
      <c r="B16" s="335">
        <f>2649280+14250+344240-77530+101200-67780+138480-91470+38380-124553+210000</f>
        <v>3134497</v>
      </c>
      <c r="C16" s="335">
        <f t="shared" ref="C16" si="1">2649280+14250+344240-77530+101200-67780+138480-91470+38380-124553</f>
        <v>2924497</v>
      </c>
      <c r="D16" s="166"/>
      <c r="E16" s="343"/>
      <c r="F16" s="444"/>
      <c r="G16" s="335"/>
    </row>
    <row r="17" spans="1:8" ht="23.1" customHeight="1" x14ac:dyDescent="0.55000000000000004">
      <c r="A17" s="16" t="s">
        <v>64</v>
      </c>
      <c r="B17" s="335">
        <f>33100</f>
        <v>33100</v>
      </c>
      <c r="C17" s="335">
        <f>33100</f>
        <v>33100</v>
      </c>
      <c r="D17" s="166"/>
      <c r="E17" s="343"/>
      <c r="F17" s="444"/>
      <c r="G17" s="335"/>
    </row>
    <row r="18" spans="1:8" ht="23.1" customHeight="1" x14ac:dyDescent="0.55000000000000004">
      <c r="A18" s="16" t="s">
        <v>76</v>
      </c>
      <c r="B18" s="335">
        <v>11500</v>
      </c>
      <c r="C18" s="335">
        <v>11500</v>
      </c>
      <c r="D18" s="166"/>
      <c r="E18" s="343"/>
      <c r="F18" s="444"/>
      <c r="G18" s="335"/>
    </row>
    <row r="19" spans="1:8" ht="23.1" customHeight="1" x14ac:dyDescent="0.55000000000000004">
      <c r="A19" s="16" t="s">
        <v>62</v>
      </c>
      <c r="B19" s="335">
        <f t="shared" ref="B19:C19" si="2">94000-47000</f>
        <v>47000</v>
      </c>
      <c r="C19" s="335">
        <f t="shared" si="2"/>
        <v>47000</v>
      </c>
      <c r="D19" s="166"/>
      <c r="E19" s="343"/>
      <c r="F19" s="444"/>
      <c r="G19" s="335"/>
    </row>
    <row r="20" spans="1:8" ht="23.1" customHeight="1" x14ac:dyDescent="0.55000000000000004">
      <c r="A20" s="16" t="s">
        <v>596</v>
      </c>
      <c r="B20" s="335">
        <v>33500</v>
      </c>
      <c r="C20" s="335">
        <v>33500</v>
      </c>
      <c r="D20" s="166"/>
      <c r="E20" s="343"/>
      <c r="F20" s="444"/>
      <c r="G20" s="335"/>
    </row>
    <row r="21" spans="1:8" ht="23.1" customHeight="1" x14ac:dyDescent="0.55000000000000004">
      <c r="A21" s="16" t="s">
        <v>280</v>
      </c>
      <c r="B21" s="335">
        <f t="shared" ref="B21:C21" si="3">243490.4+47700-3000+21000</f>
        <v>309190.40000000002</v>
      </c>
      <c r="C21" s="335">
        <f t="shared" si="3"/>
        <v>309190.40000000002</v>
      </c>
      <c r="D21" s="166"/>
      <c r="E21" s="343"/>
      <c r="F21" s="444"/>
      <c r="G21" s="335"/>
    </row>
    <row r="22" spans="1:8" ht="23.1" customHeight="1" x14ac:dyDescent="0.55000000000000004">
      <c r="A22" s="16" t="s">
        <v>281</v>
      </c>
      <c r="B22" s="335">
        <f>167500+99000+11900</f>
        <v>278400</v>
      </c>
      <c r="C22" s="335">
        <f t="shared" ref="C22" si="4">167500+99000</f>
        <v>266500</v>
      </c>
      <c r="D22" s="166"/>
      <c r="E22" s="343"/>
      <c r="F22" s="444"/>
      <c r="G22" s="335"/>
    </row>
    <row r="23" spans="1:8" ht="23.1" customHeight="1" x14ac:dyDescent="0.55000000000000004">
      <c r="A23" s="16" t="s">
        <v>77</v>
      </c>
      <c r="B23" s="335">
        <f t="shared" ref="B23:C23" si="5">95000+52200</f>
        <v>147200</v>
      </c>
      <c r="C23" s="335">
        <f t="shared" si="5"/>
        <v>147200</v>
      </c>
      <c r="D23" s="166"/>
      <c r="E23" s="343"/>
      <c r="F23" s="444"/>
      <c r="G23" s="335"/>
    </row>
    <row r="24" spans="1:8" ht="23.1" customHeight="1" x14ac:dyDescent="0.55000000000000004">
      <c r="A24" s="154" t="s">
        <v>78</v>
      </c>
      <c r="B24" s="335">
        <f>70790+19300</f>
        <v>90090</v>
      </c>
      <c r="C24" s="335">
        <f t="shared" ref="C24" si="6">70790</f>
        <v>70790</v>
      </c>
      <c r="D24" s="166"/>
      <c r="E24" s="343"/>
      <c r="F24" s="444"/>
      <c r="G24" s="335"/>
    </row>
    <row r="25" spans="1:8" ht="23.1" customHeight="1" x14ac:dyDescent="0.55000000000000004">
      <c r="A25" s="154" t="s">
        <v>664</v>
      </c>
      <c r="B25" s="335">
        <f>164500</f>
        <v>164500</v>
      </c>
      <c r="C25" s="335"/>
      <c r="D25" s="166"/>
      <c r="E25" s="343"/>
      <c r="F25" s="444"/>
      <c r="G25" s="335"/>
    </row>
    <row r="26" spans="1:8" ht="23.1" customHeight="1" x14ac:dyDescent="0.55000000000000004">
      <c r="A26" s="432" t="s">
        <v>665</v>
      </c>
      <c r="B26" s="335">
        <f>699000</f>
        <v>699000</v>
      </c>
      <c r="C26" s="335"/>
      <c r="D26" s="166"/>
      <c r="E26" s="343"/>
      <c r="F26" s="444"/>
      <c r="G26" s="335"/>
    </row>
    <row r="27" spans="1:8" ht="23.1" customHeight="1" x14ac:dyDescent="0.55000000000000004">
      <c r="A27" s="167"/>
      <c r="B27" s="442">
        <f>SUM(B10:B26)</f>
        <v>17215352.399999999</v>
      </c>
      <c r="C27" s="442">
        <f>SUM(C10:C26)</f>
        <v>16110652.4</v>
      </c>
      <c r="D27" s="443"/>
      <c r="E27" s="442">
        <f>SUM(E10:E26)</f>
        <v>17215352.399999999</v>
      </c>
      <c r="F27" s="442">
        <f>SUM(F10:F26)</f>
        <v>16110652.4</v>
      </c>
      <c r="G27" s="150"/>
    </row>
    <row r="28" spans="1:8" s="26" customFormat="1" ht="23.1" customHeight="1" x14ac:dyDescent="0.55000000000000004">
      <c r="A28" s="23"/>
      <c r="B28" s="24"/>
      <c r="C28" s="24"/>
      <c r="D28" s="25"/>
      <c r="E28" s="24"/>
      <c r="G28" s="27"/>
      <c r="H28" s="28"/>
    </row>
    <row r="29" spans="1:8" s="5" customFormat="1" ht="23.1" customHeight="1" x14ac:dyDescent="0.5">
      <c r="A29" s="436" t="s">
        <v>277</v>
      </c>
      <c r="B29" s="440" t="s">
        <v>275</v>
      </c>
      <c r="C29" s="437"/>
      <c r="D29" s="433" t="s">
        <v>272</v>
      </c>
      <c r="E29" s="433"/>
      <c r="G29" s="195"/>
      <c r="H29" s="438"/>
    </row>
    <row r="30" spans="1:8" s="5" customFormat="1" ht="23.1" customHeight="1" x14ac:dyDescent="0.5">
      <c r="A30" s="194" t="s">
        <v>72</v>
      </c>
      <c r="B30" s="753" t="s">
        <v>72</v>
      </c>
      <c r="C30" s="753"/>
      <c r="D30" s="751" t="s">
        <v>181</v>
      </c>
      <c r="E30" s="751"/>
      <c r="G30" s="195"/>
      <c r="H30" s="438"/>
    </row>
    <row r="31" spans="1:8" s="5" customFormat="1" ht="23.1" customHeight="1" x14ac:dyDescent="0.5">
      <c r="A31" s="194" t="s">
        <v>69</v>
      </c>
      <c r="B31" s="751" t="s">
        <v>278</v>
      </c>
      <c r="C31" s="751"/>
      <c r="D31" s="751" t="s">
        <v>70</v>
      </c>
      <c r="E31" s="751"/>
      <c r="G31" s="195"/>
      <c r="H31" s="438"/>
    </row>
    <row r="32" spans="1:8" s="5" customFormat="1" ht="23.1" customHeight="1" x14ac:dyDescent="0.5">
      <c r="A32" s="194" t="s">
        <v>71</v>
      </c>
      <c r="B32" s="194"/>
      <c r="C32" s="194"/>
      <c r="G32" s="195"/>
      <c r="H32" s="438"/>
    </row>
    <row r="33" spans="2:8" s="26" customFormat="1" ht="23.1" customHeight="1" x14ac:dyDescent="0.55000000000000004">
      <c r="B33" s="32"/>
      <c r="C33" s="356"/>
      <c r="G33" s="27"/>
      <c r="H33" s="28"/>
    </row>
    <row r="34" spans="2:8" s="26" customFormat="1" ht="23.1" customHeight="1" x14ac:dyDescent="0.55000000000000004">
      <c r="B34" s="32"/>
      <c r="C34" s="356"/>
      <c r="G34" s="27"/>
      <c r="H34" s="28"/>
    </row>
    <row r="35" spans="2:8" s="26" customFormat="1" ht="23.1" customHeight="1" x14ac:dyDescent="0.55000000000000004">
      <c r="D35" s="32"/>
      <c r="G35" s="27"/>
      <c r="H35" s="28"/>
    </row>
    <row r="36" spans="2:8" s="26" customFormat="1" ht="23.1" customHeight="1" x14ac:dyDescent="0.55000000000000004">
      <c r="G36" s="27"/>
      <c r="H36" s="28"/>
    </row>
  </sheetData>
  <mergeCells count="11">
    <mergeCell ref="A1:F1"/>
    <mergeCell ref="A2:F2"/>
    <mergeCell ref="A3:F3"/>
    <mergeCell ref="D30:E30"/>
    <mergeCell ref="D31:E31"/>
    <mergeCell ref="A6:A7"/>
    <mergeCell ref="D6:F6"/>
    <mergeCell ref="B6:C7"/>
    <mergeCell ref="B30:C30"/>
    <mergeCell ref="B31:C31"/>
    <mergeCell ref="E7:F7"/>
  </mergeCells>
  <pageMargins left="0.78740157480314965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3" workbookViewId="0">
      <selection activeCell="C30" sqref="C30:D30"/>
    </sheetView>
  </sheetViews>
  <sheetFormatPr defaultRowHeight="23.1" customHeight="1" x14ac:dyDescent="0.55000000000000004"/>
  <cols>
    <col min="1" max="1" width="23.7109375" style="9" customWidth="1"/>
    <col min="2" max="2" width="13.42578125" style="341" customWidth="1"/>
    <col min="3" max="3" width="13.140625" style="341" customWidth="1"/>
    <col min="4" max="4" width="11.42578125" style="341" customWidth="1"/>
    <col min="5" max="5" width="13.85546875" style="341" customWidth="1"/>
    <col min="6" max="6" width="14" style="9" customWidth="1"/>
    <col min="7" max="7" width="13.42578125" style="9" customWidth="1"/>
    <col min="8" max="8" width="9.140625" style="9"/>
    <col min="9" max="9" width="16.7109375" style="10" customWidth="1"/>
    <col min="10" max="10" width="26.85546875" style="11" customWidth="1"/>
    <col min="11" max="16384" width="9.140625" style="9"/>
  </cols>
  <sheetData>
    <row r="1" spans="1:10" ht="26.1" customHeight="1" x14ac:dyDescent="0.55000000000000004">
      <c r="A1" s="720" t="s">
        <v>595</v>
      </c>
      <c r="B1" s="720"/>
      <c r="C1" s="720"/>
      <c r="D1" s="720"/>
      <c r="E1" s="720"/>
      <c r="F1" s="720"/>
      <c r="G1" s="720"/>
    </row>
    <row r="2" spans="1:10" ht="26.1" customHeight="1" x14ac:dyDescent="0.55000000000000004">
      <c r="A2" s="720" t="s">
        <v>276</v>
      </c>
      <c r="B2" s="720"/>
      <c r="C2" s="720"/>
      <c r="D2" s="720"/>
      <c r="E2" s="720"/>
      <c r="F2" s="720"/>
      <c r="G2" s="720"/>
    </row>
    <row r="3" spans="1:10" ht="26.1" customHeight="1" x14ac:dyDescent="0.55000000000000004">
      <c r="A3" s="743" t="s">
        <v>599</v>
      </c>
      <c r="B3" s="743"/>
      <c r="C3" s="743"/>
      <c r="D3" s="743"/>
      <c r="E3" s="743"/>
      <c r="F3" s="743"/>
      <c r="G3" s="743"/>
    </row>
    <row r="4" spans="1:10" s="26" customFormat="1" ht="23.1" customHeight="1" x14ac:dyDescent="0.55000000000000004">
      <c r="A4" s="44"/>
      <c r="B4" s="332"/>
      <c r="C4" s="332"/>
      <c r="D4" s="332"/>
      <c r="E4" s="332"/>
      <c r="F4" s="44"/>
      <c r="G4" s="44"/>
      <c r="I4" s="27"/>
      <c r="J4" s="28"/>
    </row>
    <row r="5" spans="1:10" ht="23.1" customHeight="1" x14ac:dyDescent="0.55000000000000004">
      <c r="A5" s="754" t="s">
        <v>23</v>
      </c>
      <c r="B5" s="15" t="s">
        <v>40</v>
      </c>
      <c r="C5" s="157" t="s">
        <v>270</v>
      </c>
      <c r="D5" s="157" t="s">
        <v>271</v>
      </c>
      <c r="E5" s="157" t="s">
        <v>49</v>
      </c>
      <c r="F5" s="749" t="s">
        <v>600</v>
      </c>
      <c r="G5" s="750"/>
    </row>
    <row r="6" spans="1:10" ht="23.1" customHeight="1" x14ac:dyDescent="0.55000000000000004">
      <c r="A6" s="755"/>
      <c r="B6" s="159" t="s">
        <v>601</v>
      </c>
      <c r="C6" s="158">
        <v>2561</v>
      </c>
      <c r="D6" s="158">
        <v>2561</v>
      </c>
      <c r="E6" s="158" t="s">
        <v>54</v>
      </c>
      <c r="F6" s="160" t="s">
        <v>55</v>
      </c>
      <c r="G6" s="160" t="s">
        <v>15</v>
      </c>
    </row>
    <row r="7" spans="1:10" ht="23.1" customHeight="1" x14ac:dyDescent="0.55000000000000004">
      <c r="A7" s="15" t="s">
        <v>56</v>
      </c>
      <c r="B7" s="336"/>
      <c r="C7" s="336"/>
      <c r="D7" s="336"/>
      <c r="E7" s="336"/>
      <c r="F7" s="12"/>
      <c r="G7" s="12"/>
    </row>
    <row r="8" spans="1:10" ht="23.1" customHeight="1" x14ac:dyDescent="0.55000000000000004">
      <c r="A8" s="16" t="s">
        <v>57</v>
      </c>
      <c r="B8" s="335">
        <v>120000</v>
      </c>
      <c r="C8" s="335"/>
      <c r="D8" s="335"/>
      <c r="E8" s="335">
        <f>SUM(B8+C8-D8)</f>
        <v>120000</v>
      </c>
      <c r="F8" s="156" t="s">
        <v>58</v>
      </c>
      <c r="G8" s="335">
        <f>7042023+958599.4+1104700</f>
        <v>9105322.4000000004</v>
      </c>
    </row>
    <row r="9" spans="1:10" ht="23.1" customHeight="1" x14ac:dyDescent="0.55000000000000004">
      <c r="A9" s="16" t="s">
        <v>59</v>
      </c>
      <c r="B9" s="335">
        <v>5047150</v>
      </c>
      <c r="C9" s="335"/>
      <c r="D9" s="335"/>
      <c r="E9" s="335">
        <f t="shared" ref="E9:E24" si="0">SUM(B9+C9-D9)</f>
        <v>5047150</v>
      </c>
      <c r="F9" s="156" t="s">
        <v>75</v>
      </c>
      <c r="G9" s="335">
        <f>849900+7715+7715+25900+25900+5000+5000+5000+5000+5000+5000+5000</f>
        <v>952130</v>
      </c>
    </row>
    <row r="10" spans="1:10" ht="23.1" customHeight="1" x14ac:dyDescent="0.55000000000000004">
      <c r="A10" s="16" t="s">
        <v>60</v>
      </c>
      <c r="B10" s="17" t="s">
        <v>6</v>
      </c>
      <c r="C10" s="335"/>
      <c r="D10" s="335"/>
      <c r="E10" s="335" t="s">
        <v>6</v>
      </c>
      <c r="F10" s="156" t="s">
        <v>74</v>
      </c>
      <c r="G10" s="335">
        <f>3465650+711250+1995000+939000</f>
        <v>7110900</v>
      </c>
    </row>
    <row r="11" spans="1:10" ht="23.1" customHeight="1" x14ac:dyDescent="0.55000000000000004">
      <c r="A11" s="19" t="s">
        <v>61</v>
      </c>
      <c r="B11" s="335"/>
      <c r="C11" s="335"/>
      <c r="D11" s="335"/>
      <c r="E11" s="335"/>
      <c r="F11" s="156" t="s">
        <v>588</v>
      </c>
      <c r="G11" s="335">
        <f>29800+17200</f>
        <v>47000</v>
      </c>
    </row>
    <row r="12" spans="1:10" ht="23.1" customHeight="1" x14ac:dyDescent="0.55000000000000004">
      <c r="A12" s="16" t="s">
        <v>65</v>
      </c>
      <c r="B12" s="335">
        <f>42000+199000</f>
        <v>241000</v>
      </c>
      <c r="C12" s="335"/>
      <c r="D12" s="335"/>
      <c r="E12" s="335">
        <f t="shared" si="0"/>
        <v>241000</v>
      </c>
      <c r="F12" s="18"/>
      <c r="G12" s="17"/>
    </row>
    <row r="13" spans="1:10" ht="23.1" customHeight="1" x14ac:dyDescent="0.55000000000000004">
      <c r="A13" s="16" t="s">
        <v>63</v>
      </c>
      <c r="B13" s="335">
        <v>6859225</v>
      </c>
      <c r="C13" s="335"/>
      <c r="D13" s="335"/>
      <c r="E13" s="335">
        <f t="shared" si="0"/>
        <v>6859225</v>
      </c>
      <c r="F13" s="18"/>
      <c r="G13" s="17"/>
    </row>
    <row r="14" spans="1:10" ht="23.1" customHeight="1" x14ac:dyDescent="0.55000000000000004">
      <c r="A14" s="16" t="s">
        <v>279</v>
      </c>
      <c r="B14" s="335">
        <f t="shared" ref="B14" si="1">2649280+14250+344240-77530+101200-67780+138480-91470+38380-124553</f>
        <v>2924497</v>
      </c>
      <c r="C14" s="335">
        <v>210000</v>
      </c>
      <c r="D14" s="335"/>
      <c r="E14" s="335">
        <f t="shared" si="0"/>
        <v>3134497</v>
      </c>
      <c r="F14" s="20"/>
      <c r="G14" s="17"/>
    </row>
    <row r="15" spans="1:10" ht="23.1" customHeight="1" x14ac:dyDescent="0.55000000000000004">
      <c r="A15" s="16" t="s">
        <v>64</v>
      </c>
      <c r="B15" s="335">
        <f>33100</f>
        <v>33100</v>
      </c>
      <c r="C15" s="335"/>
      <c r="D15" s="335"/>
      <c r="E15" s="335">
        <f t="shared" si="0"/>
        <v>33100</v>
      </c>
      <c r="F15" s="20"/>
      <c r="G15" s="17"/>
    </row>
    <row r="16" spans="1:10" ht="23.1" customHeight="1" x14ac:dyDescent="0.55000000000000004">
      <c r="A16" s="16" t="s">
        <v>76</v>
      </c>
      <c r="B16" s="335">
        <v>11500</v>
      </c>
      <c r="C16" s="335"/>
      <c r="D16" s="335"/>
      <c r="E16" s="335">
        <f t="shared" si="0"/>
        <v>11500</v>
      </c>
      <c r="F16" s="20"/>
      <c r="G16" s="17"/>
    </row>
    <row r="17" spans="1:10" ht="23.1" customHeight="1" x14ac:dyDescent="0.55000000000000004">
      <c r="A17" s="16" t="s">
        <v>62</v>
      </c>
      <c r="B17" s="335">
        <f t="shared" ref="B17" si="2">94000-47000</f>
        <v>47000</v>
      </c>
      <c r="C17" s="335"/>
      <c r="D17" s="335"/>
      <c r="E17" s="335">
        <f t="shared" si="0"/>
        <v>47000</v>
      </c>
      <c r="F17" s="20"/>
      <c r="G17" s="17"/>
    </row>
    <row r="18" spans="1:10" ht="23.1" customHeight="1" x14ac:dyDescent="0.55000000000000004">
      <c r="A18" s="16" t="s">
        <v>596</v>
      </c>
      <c r="B18" s="335">
        <v>33500</v>
      </c>
      <c r="C18" s="335"/>
      <c r="D18" s="335"/>
      <c r="E18" s="335">
        <f t="shared" si="0"/>
        <v>33500</v>
      </c>
      <c r="F18" s="20"/>
      <c r="G18" s="17"/>
    </row>
    <row r="19" spans="1:10" ht="23.1" customHeight="1" x14ac:dyDescent="0.55000000000000004">
      <c r="A19" s="16" t="s">
        <v>280</v>
      </c>
      <c r="B19" s="335">
        <f t="shared" ref="B19" si="3">243490.4+47700-3000+21000</f>
        <v>309190.40000000002</v>
      </c>
      <c r="C19" s="335"/>
      <c r="D19" s="335"/>
      <c r="E19" s="335">
        <f t="shared" si="0"/>
        <v>309190.40000000002</v>
      </c>
      <c r="F19" s="20"/>
      <c r="G19" s="17"/>
    </row>
    <row r="20" spans="1:10" ht="23.1" customHeight="1" x14ac:dyDescent="0.55000000000000004">
      <c r="A20" s="16" t="s">
        <v>281</v>
      </c>
      <c r="B20" s="335">
        <f t="shared" ref="B20" si="4">167500+99000</f>
        <v>266500</v>
      </c>
      <c r="C20" s="335">
        <v>11900</v>
      </c>
      <c r="D20" s="335"/>
      <c r="E20" s="335">
        <f t="shared" si="0"/>
        <v>278400</v>
      </c>
      <c r="F20" s="20"/>
      <c r="G20" s="17"/>
    </row>
    <row r="21" spans="1:10" ht="23.1" customHeight="1" x14ac:dyDescent="0.55000000000000004">
      <c r="A21" s="16" t="s">
        <v>77</v>
      </c>
      <c r="B21" s="335">
        <f t="shared" ref="B21" si="5">95000+52200</f>
        <v>147200</v>
      </c>
      <c r="C21" s="335"/>
      <c r="D21" s="335"/>
      <c r="E21" s="335">
        <f t="shared" si="0"/>
        <v>147200</v>
      </c>
      <c r="F21" s="20"/>
      <c r="G21" s="17"/>
      <c r="I21" s="11">
        <v>171553</v>
      </c>
      <c r="J21" s="11" t="s">
        <v>262</v>
      </c>
    </row>
    <row r="22" spans="1:10" ht="23.1" customHeight="1" x14ac:dyDescent="0.55000000000000004">
      <c r="A22" s="154" t="s">
        <v>78</v>
      </c>
      <c r="B22" s="335">
        <f t="shared" ref="B22" si="6">70790</f>
        <v>70790</v>
      </c>
      <c r="C22" s="335">
        <v>19300</v>
      </c>
      <c r="D22" s="335"/>
      <c r="E22" s="335">
        <f t="shared" si="0"/>
        <v>90090</v>
      </c>
      <c r="F22" s="20"/>
      <c r="G22" s="17"/>
      <c r="I22" s="11">
        <v>47000</v>
      </c>
      <c r="J22" s="11" t="s">
        <v>263</v>
      </c>
    </row>
    <row r="23" spans="1:10" ht="23.1" customHeight="1" x14ac:dyDescent="0.55000000000000004">
      <c r="A23" s="154" t="s">
        <v>664</v>
      </c>
      <c r="B23" s="335">
        <v>0</v>
      </c>
      <c r="C23" s="335">
        <v>164500</v>
      </c>
      <c r="D23" s="335"/>
      <c r="E23" s="335">
        <f>SUM(B23+C23-D23)</f>
        <v>164500</v>
      </c>
      <c r="F23" s="20"/>
      <c r="G23" s="17"/>
      <c r="I23" s="11">
        <f>SUM(I21-I22)</f>
        <v>124553</v>
      </c>
      <c r="J23" s="11" t="s">
        <v>264</v>
      </c>
    </row>
    <row r="24" spans="1:10" ht="23.1" customHeight="1" x14ac:dyDescent="0.55000000000000004">
      <c r="A24" s="432" t="s">
        <v>665</v>
      </c>
      <c r="B24" s="335"/>
      <c r="C24" s="335">
        <v>699000</v>
      </c>
      <c r="D24" s="335"/>
      <c r="E24" s="335">
        <f t="shared" si="0"/>
        <v>699000</v>
      </c>
      <c r="F24" s="20"/>
      <c r="G24" s="17"/>
      <c r="I24" s="11"/>
    </row>
    <row r="25" spans="1:10" ht="23.1" customHeight="1" x14ac:dyDescent="0.55000000000000004">
      <c r="A25" s="16"/>
      <c r="B25" s="335"/>
      <c r="C25" s="335"/>
      <c r="D25" s="335"/>
      <c r="E25" s="335"/>
      <c r="F25" s="20"/>
      <c r="G25" s="17"/>
      <c r="I25" s="11"/>
    </row>
    <row r="26" spans="1:10" ht="23.1" customHeight="1" x14ac:dyDescent="0.55000000000000004">
      <c r="A26" s="16"/>
      <c r="B26" s="335"/>
      <c r="C26" s="335"/>
      <c r="D26" s="335"/>
      <c r="E26" s="335"/>
      <c r="F26" s="20"/>
      <c r="G26" s="17"/>
    </row>
    <row r="27" spans="1:10" ht="23.1" customHeight="1" x14ac:dyDescent="0.55000000000000004">
      <c r="A27" s="21"/>
      <c r="B27" s="337">
        <f>SUM(B8:B26)</f>
        <v>16110652.4</v>
      </c>
      <c r="C27" s="337">
        <f>SUM(C8:C26)</f>
        <v>1104700</v>
      </c>
      <c r="D27" s="337">
        <f>SUM(D8:D26)</f>
        <v>0</v>
      </c>
      <c r="E27" s="337">
        <f>SUM(E8:E26)</f>
        <v>17215352.399999999</v>
      </c>
      <c r="F27" s="14"/>
      <c r="G27" s="22">
        <f>SUM(G8:G26)</f>
        <v>17215352.399999999</v>
      </c>
      <c r="I27" s="11">
        <v>16110652.4</v>
      </c>
      <c r="J27" s="11" t="s">
        <v>265</v>
      </c>
    </row>
    <row r="28" spans="1:10" s="26" customFormat="1" ht="23.1" customHeight="1" x14ac:dyDescent="0.55000000000000004">
      <c r="A28" s="23"/>
      <c r="B28" s="338"/>
      <c r="C28" s="338"/>
      <c r="D28" s="338"/>
      <c r="E28" s="338"/>
      <c r="F28" s="25"/>
      <c r="G28" s="24"/>
      <c r="I28" s="28">
        <v>16110652.4</v>
      </c>
      <c r="J28" s="28" t="s">
        <v>266</v>
      </c>
    </row>
    <row r="29" spans="1:10" s="60" customFormat="1" ht="26.25" customHeight="1" x14ac:dyDescent="0.55000000000000004">
      <c r="A29" s="6" t="s">
        <v>273</v>
      </c>
      <c r="B29" s="72"/>
      <c r="C29" s="742" t="s">
        <v>273</v>
      </c>
      <c r="D29" s="742"/>
      <c r="E29" s="72"/>
      <c r="F29" s="742" t="s">
        <v>274</v>
      </c>
      <c r="G29" s="742"/>
      <c r="H29" s="6"/>
      <c r="I29" s="153">
        <f>SUM(I27-I28)</f>
        <v>0</v>
      </c>
      <c r="J29" s="153" t="s">
        <v>267</v>
      </c>
    </row>
    <row r="30" spans="1:10" s="60" customFormat="1" ht="23.1" customHeight="1" x14ac:dyDescent="0.55000000000000004">
      <c r="A30" s="6" t="s">
        <v>67</v>
      </c>
      <c r="B30" s="72"/>
      <c r="C30" s="742" t="s">
        <v>72</v>
      </c>
      <c r="D30" s="742"/>
      <c r="E30" s="72"/>
      <c r="F30" s="6" t="s">
        <v>68</v>
      </c>
      <c r="G30" s="6"/>
      <c r="H30" s="6"/>
      <c r="I30" s="151"/>
      <c r="J30" s="153"/>
    </row>
    <row r="31" spans="1:10" s="60" customFormat="1" ht="27.75" customHeight="1" x14ac:dyDescent="0.55000000000000004">
      <c r="A31" s="6" t="s">
        <v>69</v>
      </c>
      <c r="B31" s="72"/>
      <c r="C31" s="742" t="s">
        <v>73</v>
      </c>
      <c r="D31" s="742"/>
      <c r="E31" s="72"/>
      <c r="F31" s="6" t="s">
        <v>70</v>
      </c>
      <c r="G31" s="6"/>
      <c r="H31" s="6"/>
      <c r="I31" s="151"/>
      <c r="J31" s="153"/>
    </row>
    <row r="32" spans="1:10" s="60" customFormat="1" ht="23.1" customHeight="1" x14ac:dyDescent="0.55000000000000004">
      <c r="A32" s="52" t="s">
        <v>79</v>
      </c>
      <c r="B32" s="72"/>
      <c r="C32" s="72"/>
      <c r="D32" s="72"/>
      <c r="E32" s="72"/>
      <c r="F32" s="6"/>
      <c r="G32" s="6"/>
      <c r="H32" s="6"/>
      <c r="I32" s="151"/>
      <c r="J32" s="153"/>
    </row>
    <row r="33" spans="1:10" s="26" customFormat="1" ht="23.1" customHeight="1" x14ac:dyDescent="0.55000000000000004">
      <c r="A33" s="23"/>
      <c r="B33" s="338"/>
      <c r="C33" s="338"/>
      <c r="D33" s="338"/>
      <c r="E33" s="338"/>
      <c r="F33" s="25"/>
      <c r="G33" s="24"/>
      <c r="I33" s="27"/>
      <c r="J33" s="28"/>
    </row>
    <row r="34" spans="1:10" s="26" customFormat="1" ht="23.1" customHeight="1" x14ac:dyDescent="0.55000000000000004">
      <c r="A34" s="23"/>
      <c r="B34" s="338"/>
      <c r="C34" s="338"/>
      <c r="D34" s="338"/>
      <c r="E34" s="338"/>
      <c r="F34" s="25"/>
      <c r="G34" s="24"/>
      <c r="I34" s="27"/>
      <c r="J34" s="28"/>
    </row>
    <row r="35" spans="1:10" s="26" customFormat="1" ht="23.1" customHeight="1" x14ac:dyDescent="0.55000000000000004">
      <c r="A35" s="30"/>
      <c r="B35" s="339"/>
      <c r="C35" s="339"/>
      <c r="D35" s="339"/>
      <c r="E35" s="339"/>
      <c r="G35" s="31"/>
      <c r="I35" s="27"/>
      <c r="J35" s="28"/>
    </row>
    <row r="36" spans="1:10" s="26" customFormat="1" ht="23.1" customHeight="1" x14ac:dyDescent="0.55000000000000004">
      <c r="B36" s="340"/>
      <c r="C36" s="340"/>
      <c r="D36" s="340"/>
      <c r="E36" s="340"/>
      <c r="I36" s="27"/>
      <c r="J36" s="28"/>
    </row>
    <row r="37" spans="1:10" s="26" customFormat="1" ht="23.1" customHeight="1" x14ac:dyDescent="0.55000000000000004">
      <c r="B37" s="340"/>
      <c r="C37" s="340"/>
      <c r="D37" s="340"/>
      <c r="E37" s="340"/>
      <c r="I37" s="27"/>
      <c r="J37" s="28"/>
    </row>
    <row r="38" spans="1:10" s="26" customFormat="1" ht="23.1" customHeight="1" x14ac:dyDescent="0.55000000000000004">
      <c r="B38" s="340"/>
      <c r="C38" s="340"/>
      <c r="D38" s="340"/>
      <c r="E38" s="340"/>
      <c r="I38" s="27"/>
      <c r="J38" s="28"/>
    </row>
    <row r="39" spans="1:10" s="26" customFormat="1" ht="23.1" customHeight="1" x14ac:dyDescent="0.55000000000000004">
      <c r="B39" s="340"/>
      <c r="C39" s="340"/>
      <c r="D39" s="340"/>
      <c r="E39" s="340"/>
      <c r="I39" s="27"/>
      <c r="J39" s="28"/>
    </row>
    <row r="40" spans="1:10" s="26" customFormat="1" ht="23.1" customHeight="1" x14ac:dyDescent="0.55000000000000004">
      <c r="B40" s="340"/>
      <c r="C40" s="340"/>
      <c r="D40" s="340"/>
      <c r="E40" s="340"/>
      <c r="I40" s="27"/>
      <c r="J40" s="28"/>
    </row>
    <row r="41" spans="1:10" s="26" customFormat="1" ht="23.1" customHeight="1" x14ac:dyDescent="0.55000000000000004">
      <c r="B41" s="340"/>
      <c r="C41" s="340"/>
      <c r="D41" s="340"/>
      <c r="E41" s="340"/>
      <c r="I41" s="27"/>
      <c r="J41" s="28"/>
    </row>
  </sheetData>
  <mergeCells count="9">
    <mergeCell ref="C30:D30"/>
    <mergeCell ref="C31:D31"/>
    <mergeCell ref="A1:G1"/>
    <mergeCell ref="A2:G2"/>
    <mergeCell ref="A3:G3"/>
    <mergeCell ref="A5:A6"/>
    <mergeCell ref="F5:G5"/>
    <mergeCell ref="C29:D29"/>
    <mergeCell ref="F29:G29"/>
  </mergeCells>
  <pageMargins left="0.24" right="0.11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view="pageBreakPreview" topLeftCell="A37" zoomScaleNormal="100" zoomScaleSheetLayoutView="100" workbookViewId="0">
      <selection activeCell="A36" sqref="A36"/>
    </sheetView>
  </sheetViews>
  <sheetFormatPr defaultRowHeight="15" x14ac:dyDescent="0.35"/>
  <cols>
    <col min="1" max="1" width="8.140625" style="169" customWidth="1"/>
    <col min="2" max="2" width="33.140625" style="169" customWidth="1"/>
    <col min="3" max="3" width="9.7109375" style="189" customWidth="1"/>
    <col min="4" max="4" width="13" style="169" customWidth="1"/>
    <col min="5" max="5" width="17.28515625" style="190" customWidth="1"/>
    <col min="6" max="6" width="13.140625" style="169" customWidth="1"/>
    <col min="7" max="16384" width="9.140625" style="169"/>
  </cols>
  <sheetData>
    <row r="1" spans="1:6" ht="30" customHeight="1" x14ac:dyDescent="0.7">
      <c r="A1" s="758" t="s">
        <v>50</v>
      </c>
      <c r="B1" s="758"/>
      <c r="C1" s="758"/>
      <c r="D1" s="758"/>
      <c r="E1" s="758"/>
      <c r="F1" s="758"/>
    </row>
    <row r="2" spans="1:6" ht="24" x14ac:dyDescent="0.55000000000000004">
      <c r="A2" s="756" t="s">
        <v>602</v>
      </c>
      <c r="B2" s="756"/>
      <c r="C2" s="756"/>
      <c r="D2" s="756"/>
      <c r="E2" s="756"/>
      <c r="F2" s="756"/>
    </row>
    <row r="3" spans="1:6" ht="24" x14ac:dyDescent="0.55000000000000004">
      <c r="A3" s="757" t="s">
        <v>603</v>
      </c>
      <c r="B3" s="757"/>
      <c r="C3" s="757"/>
      <c r="D3" s="757"/>
      <c r="E3" s="757"/>
      <c r="F3" s="757"/>
    </row>
    <row r="4" spans="1:6" ht="24" x14ac:dyDescent="0.55000000000000004">
      <c r="A4" s="689"/>
      <c r="B4" s="689"/>
      <c r="C4" s="689"/>
      <c r="D4" s="689"/>
      <c r="E4" s="689"/>
      <c r="F4" s="689"/>
    </row>
    <row r="5" spans="1:6" s="690" customFormat="1" ht="24" x14ac:dyDescent="0.55000000000000004">
      <c r="A5" s="176" t="s">
        <v>287</v>
      </c>
      <c r="B5" s="176" t="s">
        <v>826</v>
      </c>
      <c r="C5" s="176" t="s">
        <v>24</v>
      </c>
      <c r="D5" s="692" t="s">
        <v>15</v>
      </c>
      <c r="E5" s="693" t="s">
        <v>283</v>
      </c>
      <c r="F5" s="176" t="s">
        <v>44</v>
      </c>
    </row>
    <row r="6" spans="1:6" s="690" customFormat="1" ht="24" x14ac:dyDescent="0.55000000000000004">
      <c r="A6" s="694"/>
      <c r="B6" s="176" t="s">
        <v>25</v>
      </c>
      <c r="C6" s="176"/>
      <c r="D6" s="695"/>
      <c r="E6" s="696"/>
      <c r="F6" s="178"/>
    </row>
    <row r="7" spans="1:6" ht="24" x14ac:dyDescent="0.55000000000000004">
      <c r="A7" s="170"/>
      <c r="B7" s="171" t="s">
        <v>259</v>
      </c>
      <c r="C7" s="175"/>
      <c r="D7" s="172"/>
      <c r="E7" s="173"/>
      <c r="F7" s="174"/>
    </row>
    <row r="8" spans="1:6" ht="24" x14ac:dyDescent="0.55000000000000004">
      <c r="A8" s="176">
        <v>1</v>
      </c>
      <c r="B8" s="180" t="s">
        <v>98</v>
      </c>
      <c r="C8" s="178"/>
      <c r="D8" s="177"/>
      <c r="E8" s="181"/>
      <c r="F8" s="178"/>
    </row>
    <row r="9" spans="1:6" ht="24" x14ac:dyDescent="0.55000000000000004">
      <c r="A9" s="178"/>
      <c r="B9" s="179" t="s">
        <v>282</v>
      </c>
      <c r="C9" s="178">
        <v>9</v>
      </c>
      <c r="D9" s="177">
        <v>5500</v>
      </c>
      <c r="E9" s="181">
        <f>SUM(C9*D9)</f>
        <v>49500</v>
      </c>
      <c r="F9" s="178" t="s">
        <v>604</v>
      </c>
    </row>
    <row r="10" spans="1:6" ht="24" x14ac:dyDescent="0.55000000000000004">
      <c r="A10" s="178"/>
      <c r="B10" s="179" t="s">
        <v>827</v>
      </c>
      <c r="C10" s="178">
        <v>1</v>
      </c>
      <c r="D10" s="177">
        <v>79000</v>
      </c>
      <c r="E10" s="181">
        <f>SUM(C10*D10)</f>
        <v>79000</v>
      </c>
      <c r="F10" s="178" t="s">
        <v>604</v>
      </c>
    </row>
    <row r="11" spans="1:6" ht="24" x14ac:dyDescent="0.55000000000000004">
      <c r="A11" s="178"/>
      <c r="B11" s="179" t="s">
        <v>828</v>
      </c>
      <c r="C11" s="178">
        <v>1</v>
      </c>
      <c r="D11" s="177">
        <v>59000</v>
      </c>
      <c r="E11" s="181">
        <f>SUM(C11*D11)</f>
        <v>59000</v>
      </c>
      <c r="F11" s="178" t="s">
        <v>604</v>
      </c>
    </row>
    <row r="12" spans="1:6" ht="24" x14ac:dyDescent="0.55000000000000004">
      <c r="A12" s="697"/>
      <c r="B12" s="698" t="s">
        <v>829</v>
      </c>
      <c r="C12" s="697">
        <v>3</v>
      </c>
      <c r="D12" s="699">
        <v>7500</v>
      </c>
      <c r="E12" s="181">
        <f>SUM(C12*D12)</f>
        <v>22500</v>
      </c>
      <c r="F12" s="178" t="s">
        <v>604</v>
      </c>
    </row>
    <row r="13" spans="1:6" ht="24" x14ac:dyDescent="0.55000000000000004">
      <c r="A13" s="701"/>
      <c r="B13" s="702"/>
      <c r="C13" s="703"/>
      <c r="D13" s="704"/>
      <c r="E13" s="709">
        <f>SUM(E9:E12)</f>
        <v>210000</v>
      </c>
      <c r="F13" s="178"/>
    </row>
    <row r="14" spans="1:6" ht="24" x14ac:dyDescent="0.55000000000000004">
      <c r="A14" s="176">
        <v>2</v>
      </c>
      <c r="B14" s="180" t="s">
        <v>830</v>
      </c>
      <c r="C14" s="178"/>
      <c r="D14" s="177"/>
      <c r="E14" s="181"/>
      <c r="F14" s="178"/>
    </row>
    <row r="15" spans="1:6" ht="24" x14ac:dyDescent="0.55000000000000004">
      <c r="A15" s="178"/>
      <c r="B15" s="179" t="s">
        <v>831</v>
      </c>
      <c r="C15" s="178">
        <v>1</v>
      </c>
      <c r="D15" s="177">
        <v>11900</v>
      </c>
      <c r="E15" s="181">
        <f>SUM(C15*D15)</f>
        <v>11900</v>
      </c>
      <c r="F15" s="178" t="s">
        <v>604</v>
      </c>
    </row>
    <row r="16" spans="1:6" ht="24" x14ac:dyDescent="0.55000000000000004">
      <c r="A16" s="701"/>
      <c r="B16" s="702"/>
      <c r="C16" s="703"/>
      <c r="D16" s="704"/>
      <c r="E16" s="709">
        <f>SUM(E15:E15)</f>
        <v>11900</v>
      </c>
      <c r="F16" s="697"/>
    </row>
    <row r="17" spans="1:6" s="182" customFormat="1" ht="24" x14ac:dyDescent="0.55000000000000004">
      <c r="A17" s="176">
        <v>3</v>
      </c>
      <c r="B17" s="180" t="s">
        <v>284</v>
      </c>
      <c r="C17" s="178"/>
      <c r="D17" s="177"/>
      <c r="E17" s="181"/>
      <c r="F17" s="178"/>
    </row>
    <row r="18" spans="1:6" s="182" customFormat="1" ht="24" x14ac:dyDescent="0.55000000000000004">
      <c r="A18" s="178"/>
      <c r="B18" s="179" t="s">
        <v>832</v>
      </c>
      <c r="C18" s="178">
        <v>1</v>
      </c>
      <c r="D18" s="177">
        <v>19300</v>
      </c>
      <c r="E18" s="181">
        <f>SUM(C18*D18)</f>
        <v>19300</v>
      </c>
      <c r="F18" s="178" t="s">
        <v>604</v>
      </c>
    </row>
    <row r="19" spans="1:6" s="182" customFormat="1" ht="24" x14ac:dyDescent="0.55000000000000004">
      <c r="A19" s="701"/>
      <c r="B19" s="702"/>
      <c r="C19" s="703"/>
      <c r="D19" s="704"/>
      <c r="E19" s="709">
        <f>SUM(E18:E18)</f>
        <v>19300</v>
      </c>
      <c r="F19" s="178"/>
    </row>
    <row r="20" spans="1:6" s="182" customFormat="1" ht="24" x14ac:dyDescent="0.55000000000000004">
      <c r="A20" s="176">
        <v>4</v>
      </c>
      <c r="B20" s="180" t="s">
        <v>833</v>
      </c>
      <c r="C20" s="178"/>
      <c r="D20" s="177"/>
      <c r="E20" s="181"/>
      <c r="F20" s="178"/>
    </row>
    <row r="21" spans="1:6" s="182" customFormat="1" ht="24" x14ac:dyDescent="0.55000000000000004">
      <c r="A21" s="176"/>
      <c r="B21" s="705" t="s">
        <v>834</v>
      </c>
      <c r="C21" s="178">
        <v>1</v>
      </c>
      <c r="D21" s="177">
        <v>29800</v>
      </c>
      <c r="E21" s="181">
        <f>SUM(C21*D21)</f>
        <v>29800</v>
      </c>
      <c r="F21" s="178" t="s">
        <v>604</v>
      </c>
    </row>
    <row r="22" spans="1:6" s="182" customFormat="1" ht="24" x14ac:dyDescent="0.55000000000000004">
      <c r="A22" s="176"/>
      <c r="B22" s="705" t="s">
        <v>835</v>
      </c>
      <c r="C22" s="178">
        <v>1</v>
      </c>
      <c r="D22" s="177">
        <v>15000</v>
      </c>
      <c r="E22" s="181">
        <f>SUM(C22*D22)</f>
        <v>15000</v>
      </c>
      <c r="F22" s="178" t="s">
        <v>604</v>
      </c>
    </row>
    <row r="23" spans="1:6" s="182" customFormat="1" ht="24" x14ac:dyDescent="0.55000000000000004">
      <c r="A23" s="176"/>
      <c r="B23" s="705" t="s">
        <v>836</v>
      </c>
      <c r="C23" s="178">
        <v>1</v>
      </c>
      <c r="D23" s="177">
        <v>3300</v>
      </c>
      <c r="E23" s="181">
        <f t="shared" ref="E23:E30" si="0">SUM(C23*D23)</f>
        <v>3300</v>
      </c>
      <c r="F23" s="178" t="s">
        <v>604</v>
      </c>
    </row>
    <row r="24" spans="1:6" s="182" customFormat="1" ht="24" x14ac:dyDescent="0.55000000000000004">
      <c r="A24" s="176"/>
      <c r="B24" s="705" t="s">
        <v>837</v>
      </c>
      <c r="C24" s="178">
        <v>1</v>
      </c>
      <c r="D24" s="177">
        <v>5700</v>
      </c>
      <c r="E24" s="181">
        <f t="shared" si="0"/>
        <v>5700</v>
      </c>
      <c r="F24" s="178" t="s">
        <v>604</v>
      </c>
    </row>
    <row r="25" spans="1:6" s="182" customFormat="1" ht="24" x14ac:dyDescent="0.55000000000000004">
      <c r="A25" s="176"/>
      <c r="B25" s="705" t="s">
        <v>838</v>
      </c>
      <c r="C25" s="178">
        <v>1</v>
      </c>
      <c r="D25" s="177">
        <v>16000</v>
      </c>
      <c r="E25" s="181">
        <f t="shared" si="0"/>
        <v>16000</v>
      </c>
      <c r="F25" s="178" t="s">
        <v>604</v>
      </c>
    </row>
    <row r="26" spans="1:6" s="182" customFormat="1" ht="24" x14ac:dyDescent="0.55000000000000004">
      <c r="A26" s="176"/>
      <c r="B26" s="705" t="s">
        <v>839</v>
      </c>
      <c r="C26" s="178">
        <v>1</v>
      </c>
      <c r="D26" s="177">
        <v>16000</v>
      </c>
      <c r="E26" s="181">
        <f t="shared" si="0"/>
        <v>16000</v>
      </c>
      <c r="F26" s="178" t="s">
        <v>604</v>
      </c>
    </row>
    <row r="27" spans="1:6" s="182" customFormat="1" ht="24" x14ac:dyDescent="0.55000000000000004">
      <c r="A27" s="176"/>
      <c r="B27" s="705" t="s">
        <v>840</v>
      </c>
      <c r="C27" s="178">
        <v>1</v>
      </c>
      <c r="D27" s="177">
        <v>3300</v>
      </c>
      <c r="E27" s="181">
        <f t="shared" si="0"/>
        <v>3300</v>
      </c>
      <c r="F27" s="178" t="s">
        <v>604</v>
      </c>
    </row>
    <row r="28" spans="1:6" s="182" customFormat="1" ht="24" x14ac:dyDescent="0.55000000000000004">
      <c r="A28" s="176"/>
      <c r="B28" s="705" t="s">
        <v>841</v>
      </c>
      <c r="C28" s="178">
        <v>1</v>
      </c>
      <c r="D28" s="177">
        <v>5700</v>
      </c>
      <c r="E28" s="181">
        <f t="shared" si="0"/>
        <v>5700</v>
      </c>
      <c r="F28" s="178" t="s">
        <v>604</v>
      </c>
    </row>
    <row r="29" spans="1:6" s="182" customFormat="1" ht="24" x14ac:dyDescent="0.55000000000000004">
      <c r="A29" s="176"/>
      <c r="B29" s="705" t="s">
        <v>842</v>
      </c>
      <c r="C29" s="178">
        <v>1</v>
      </c>
      <c r="D29" s="177">
        <v>5700</v>
      </c>
      <c r="E29" s="181">
        <f t="shared" si="0"/>
        <v>5700</v>
      </c>
      <c r="F29" s="178" t="s">
        <v>604</v>
      </c>
    </row>
    <row r="30" spans="1:6" s="182" customFormat="1" ht="24" x14ac:dyDescent="0.55000000000000004">
      <c r="A30" s="176"/>
      <c r="B30" s="705" t="s">
        <v>843</v>
      </c>
      <c r="C30" s="178">
        <v>1</v>
      </c>
      <c r="D30" s="177">
        <v>16000</v>
      </c>
      <c r="E30" s="181">
        <f t="shared" si="0"/>
        <v>16000</v>
      </c>
      <c r="F30" s="178" t="s">
        <v>604</v>
      </c>
    </row>
    <row r="31" spans="1:6" s="182" customFormat="1" ht="24" x14ac:dyDescent="0.55000000000000004">
      <c r="A31" s="689"/>
      <c r="B31" s="706"/>
      <c r="C31" s="691"/>
      <c r="D31" s="700"/>
      <c r="E31" s="707"/>
      <c r="F31" s="691"/>
    </row>
    <row r="32" spans="1:6" s="182" customFormat="1" ht="24" x14ac:dyDescent="0.55000000000000004">
      <c r="A32" s="689"/>
      <c r="B32" s="706"/>
      <c r="C32" s="691"/>
      <c r="D32" s="700"/>
      <c r="E32" s="707"/>
      <c r="F32" s="691"/>
    </row>
    <row r="33" spans="1:6" s="182" customFormat="1" ht="24" x14ac:dyDescent="0.55000000000000004">
      <c r="A33" s="689"/>
      <c r="B33" s="706"/>
      <c r="C33" s="691"/>
      <c r="D33" s="700"/>
      <c r="E33" s="707"/>
      <c r="F33" s="691" t="s">
        <v>236</v>
      </c>
    </row>
    <row r="34" spans="1:6" s="182" customFormat="1" ht="15.95" customHeight="1" x14ac:dyDescent="0.55000000000000004">
      <c r="A34" s="689"/>
      <c r="B34" s="706"/>
      <c r="C34" s="691"/>
      <c r="D34" s="700"/>
      <c r="E34" s="707"/>
      <c r="F34" s="691"/>
    </row>
    <row r="35" spans="1:6" s="182" customFormat="1" ht="24" x14ac:dyDescent="0.55000000000000004">
      <c r="A35" s="176" t="s">
        <v>287</v>
      </c>
      <c r="B35" s="176" t="s">
        <v>826</v>
      </c>
      <c r="C35" s="176" t="s">
        <v>24</v>
      </c>
      <c r="D35" s="692" t="s">
        <v>15</v>
      </c>
      <c r="E35" s="693" t="s">
        <v>283</v>
      </c>
      <c r="F35" s="176" t="s">
        <v>44</v>
      </c>
    </row>
    <row r="36" spans="1:6" s="182" customFormat="1" ht="24" x14ac:dyDescent="0.55000000000000004">
      <c r="A36" s="694"/>
      <c r="B36" s="176" t="s">
        <v>25</v>
      </c>
      <c r="C36" s="176"/>
      <c r="D36" s="695"/>
      <c r="E36" s="696"/>
      <c r="F36" s="178"/>
    </row>
    <row r="37" spans="1:6" s="182" customFormat="1" ht="24" x14ac:dyDescent="0.55000000000000004">
      <c r="A37" s="170"/>
      <c r="B37" s="171" t="s">
        <v>259</v>
      </c>
      <c r="C37" s="175"/>
      <c r="D37" s="172"/>
      <c r="E37" s="173"/>
      <c r="F37" s="174"/>
    </row>
    <row r="38" spans="1:6" s="182" customFormat="1" ht="24" x14ac:dyDescent="0.55000000000000004">
      <c r="A38" s="170"/>
      <c r="B38" s="705" t="s">
        <v>844</v>
      </c>
      <c r="C38" s="708">
        <v>1</v>
      </c>
      <c r="D38" s="172">
        <v>16000</v>
      </c>
      <c r="E38" s="181">
        <f>SUM(C38*D38)</f>
        <v>16000</v>
      </c>
      <c r="F38" s="178" t="s">
        <v>604</v>
      </c>
    </row>
    <row r="39" spans="1:6" s="182" customFormat="1" ht="24" x14ac:dyDescent="0.55000000000000004">
      <c r="A39" s="176"/>
      <c r="B39" s="705" t="s">
        <v>845</v>
      </c>
      <c r="C39" s="178">
        <v>1</v>
      </c>
      <c r="D39" s="177">
        <v>16000</v>
      </c>
      <c r="E39" s="181">
        <f>SUM(C39*D39)</f>
        <v>16000</v>
      </c>
      <c r="F39" s="178" t="s">
        <v>604</v>
      </c>
    </row>
    <row r="40" spans="1:6" s="182" customFormat="1" ht="24" x14ac:dyDescent="0.55000000000000004">
      <c r="A40" s="176"/>
      <c r="B40" s="705" t="s">
        <v>846</v>
      </c>
      <c r="C40" s="703">
        <v>1</v>
      </c>
      <c r="D40" s="177">
        <v>16000</v>
      </c>
      <c r="E40" s="181">
        <f>SUM(E39:E39)</f>
        <v>16000</v>
      </c>
      <c r="F40" s="178" t="s">
        <v>604</v>
      </c>
    </row>
    <row r="41" spans="1:6" s="182" customFormat="1" ht="24" x14ac:dyDescent="0.55000000000000004">
      <c r="A41" s="701"/>
      <c r="B41" s="702"/>
      <c r="C41" s="703"/>
      <c r="D41" s="704"/>
      <c r="E41" s="709">
        <f>SUM(E21:E40)</f>
        <v>164500</v>
      </c>
      <c r="F41" s="178"/>
    </row>
    <row r="42" spans="1:6" s="182" customFormat="1" ht="24" x14ac:dyDescent="0.55000000000000004">
      <c r="A42" s="176"/>
      <c r="B42" s="705"/>
      <c r="C42" s="178"/>
      <c r="D42" s="177"/>
      <c r="E42" s="181"/>
      <c r="F42" s="178"/>
    </row>
    <row r="43" spans="1:6" s="182" customFormat="1" ht="24" x14ac:dyDescent="0.55000000000000004">
      <c r="A43" s="176">
        <v>5</v>
      </c>
      <c r="B43" s="180" t="s">
        <v>847</v>
      </c>
      <c r="C43" s="178"/>
      <c r="D43" s="177"/>
      <c r="E43" s="181"/>
      <c r="F43" s="178"/>
    </row>
    <row r="44" spans="1:6" s="183" customFormat="1" ht="24" x14ac:dyDescent="0.55000000000000004">
      <c r="A44" s="178"/>
      <c r="B44" s="179" t="s">
        <v>848</v>
      </c>
      <c r="C44" s="178">
        <v>1</v>
      </c>
      <c r="D44" s="177">
        <v>699000</v>
      </c>
      <c r="E44" s="181">
        <f>SUM(C44*D44)</f>
        <v>699000</v>
      </c>
      <c r="F44" s="178" t="s">
        <v>604</v>
      </c>
    </row>
    <row r="45" spans="1:6" s="183" customFormat="1" ht="24" x14ac:dyDescent="0.55000000000000004">
      <c r="A45" s="701"/>
      <c r="B45" s="702"/>
      <c r="C45" s="703"/>
      <c r="D45" s="704"/>
      <c r="E45" s="709">
        <f>SUM(E44:E44)</f>
        <v>699000</v>
      </c>
      <c r="F45" s="178"/>
    </row>
    <row r="46" spans="1:6" ht="24.75" thickBot="1" x14ac:dyDescent="0.6">
      <c r="A46" s="759" t="s">
        <v>29</v>
      </c>
      <c r="B46" s="760"/>
      <c r="C46" s="760"/>
      <c r="D46" s="761"/>
      <c r="E46" s="184">
        <f>SUM(E13+E16+E19+E41+E45)</f>
        <v>1104700</v>
      </c>
      <c r="F46" s="710"/>
    </row>
    <row r="47" spans="1:6" ht="24.75" thickTop="1" x14ac:dyDescent="0.55000000000000004">
      <c r="A47" s="185"/>
      <c r="B47" s="186"/>
      <c r="C47" s="185"/>
      <c r="D47" s="187"/>
      <c r="E47" s="188"/>
      <c r="F47" s="185"/>
    </row>
  </sheetData>
  <mergeCells count="4">
    <mergeCell ref="A2:F2"/>
    <mergeCell ref="A3:F3"/>
    <mergeCell ref="A1:F1"/>
    <mergeCell ref="A46:D46"/>
  </mergeCells>
  <pageMargins left="0.48" right="0.3" top="0.77" bottom="0.34" header="1.01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view="pageBreakPreview" zoomScaleNormal="100" zoomScaleSheetLayoutView="100" workbookViewId="0">
      <selection activeCell="G37" sqref="G37"/>
    </sheetView>
  </sheetViews>
  <sheetFormatPr defaultRowHeight="21.75" x14ac:dyDescent="0.5"/>
  <cols>
    <col min="1" max="1" width="7.85546875" style="43" customWidth="1"/>
    <col min="2" max="2" width="13.42578125" style="43" customWidth="1"/>
    <col min="3" max="3" width="9.140625" style="43"/>
    <col min="4" max="4" width="15" style="43" bestFit="1" customWidth="1"/>
    <col min="5" max="5" width="9.140625" style="43"/>
    <col min="6" max="6" width="10.140625" style="43" customWidth="1"/>
    <col min="7" max="7" width="13.7109375" style="43" customWidth="1"/>
    <col min="8" max="8" width="0.85546875" style="220" customWidth="1"/>
    <col min="9" max="9" width="14.140625" style="362" customWidth="1"/>
    <col min="10" max="16384" width="9.140625" style="43"/>
  </cols>
  <sheetData>
    <row r="1" spans="1:9" ht="26.1" customHeight="1" x14ac:dyDescent="0.55000000000000004">
      <c r="A1" s="737" t="s">
        <v>50</v>
      </c>
      <c r="B1" s="737"/>
      <c r="C1" s="737"/>
      <c r="D1" s="737"/>
      <c r="E1" s="737"/>
      <c r="F1" s="737"/>
      <c r="G1" s="737"/>
      <c r="H1" s="737"/>
      <c r="I1" s="737"/>
    </row>
    <row r="2" spans="1:9" ht="26.1" customHeight="1" x14ac:dyDescent="0.55000000000000004">
      <c r="A2" s="737" t="s">
        <v>107</v>
      </c>
      <c r="B2" s="737"/>
      <c r="C2" s="737"/>
      <c r="D2" s="737"/>
      <c r="E2" s="737"/>
      <c r="F2" s="737"/>
      <c r="G2" s="737"/>
      <c r="H2" s="737"/>
      <c r="I2" s="737"/>
    </row>
    <row r="3" spans="1:9" ht="26.1" customHeight="1" x14ac:dyDescent="0.55000000000000004">
      <c r="A3" s="737" t="s">
        <v>605</v>
      </c>
      <c r="B3" s="737"/>
      <c r="C3" s="737"/>
      <c r="D3" s="737"/>
      <c r="E3" s="737"/>
      <c r="F3" s="737"/>
      <c r="G3" s="737"/>
      <c r="H3" s="737"/>
      <c r="I3" s="737"/>
    </row>
    <row r="5" spans="1:9" ht="24" x14ac:dyDescent="0.55000000000000004">
      <c r="A5" s="238" t="s">
        <v>412</v>
      </c>
      <c r="B5" s="47"/>
      <c r="C5" s="47"/>
      <c r="D5" s="47"/>
      <c r="E5" s="47"/>
      <c r="F5" s="47"/>
      <c r="G5" s="360"/>
      <c r="H5" s="361"/>
      <c r="I5" s="360"/>
    </row>
    <row r="6" spans="1:9" ht="27.75" x14ac:dyDescent="0.65">
      <c r="A6" s="47"/>
      <c r="B6" s="47"/>
      <c r="C6" s="47"/>
      <c r="D6" s="47"/>
      <c r="E6" s="47"/>
      <c r="F6" s="47"/>
      <c r="G6" s="449">
        <v>2561</v>
      </c>
      <c r="H6" s="446"/>
      <c r="I6" s="449">
        <v>2560</v>
      </c>
    </row>
    <row r="7" spans="1:9" ht="24" x14ac:dyDescent="0.55000000000000004">
      <c r="A7" s="47"/>
      <c r="B7" s="739" t="s">
        <v>666</v>
      </c>
      <c r="C7" s="739"/>
      <c r="D7" s="739"/>
      <c r="E7" s="739"/>
      <c r="F7" s="739"/>
      <c r="G7" s="455">
        <v>7187703.8399999999</v>
      </c>
      <c r="H7" s="456"/>
      <c r="I7" s="455">
        <v>4177053.24</v>
      </c>
    </row>
    <row r="8" spans="1:9" ht="24" x14ac:dyDescent="0.55000000000000004">
      <c r="A8" s="47"/>
      <c r="B8" s="426" t="s">
        <v>667</v>
      </c>
      <c r="C8" s="47"/>
      <c r="D8" s="47"/>
      <c r="E8" s="47"/>
      <c r="F8" s="47"/>
      <c r="G8" s="455">
        <v>648684.68000000005</v>
      </c>
      <c r="H8" s="456"/>
      <c r="I8" s="455">
        <v>624929.21</v>
      </c>
    </row>
    <row r="9" spans="1:9" ht="24" x14ac:dyDescent="0.55000000000000004">
      <c r="A9" s="47"/>
      <c r="B9" s="47" t="s">
        <v>668</v>
      </c>
      <c r="C9" s="47"/>
      <c r="D9" s="47"/>
      <c r="E9" s="47"/>
      <c r="F9" s="47"/>
      <c r="G9" s="455">
        <v>8069643.8899999997</v>
      </c>
      <c r="H9" s="456"/>
      <c r="I9" s="455">
        <v>8899043.2699999996</v>
      </c>
    </row>
    <row r="10" spans="1:9" ht="24" x14ac:dyDescent="0.55000000000000004">
      <c r="A10" s="47"/>
      <c r="B10" s="47" t="s">
        <v>669</v>
      </c>
      <c r="C10" s="47"/>
      <c r="D10" s="47"/>
      <c r="E10" s="47"/>
      <c r="F10" s="47"/>
      <c r="G10" s="455">
        <v>132388.31</v>
      </c>
      <c r="H10" s="456"/>
      <c r="I10" s="455">
        <v>0</v>
      </c>
    </row>
    <row r="11" spans="1:9" ht="24.75" thickBot="1" x14ac:dyDescent="0.6">
      <c r="A11" s="47"/>
      <c r="B11" s="737" t="s">
        <v>14</v>
      </c>
      <c r="C11" s="737"/>
      <c r="D11" s="737"/>
      <c r="E11" s="737"/>
      <c r="F11" s="737"/>
      <c r="G11" s="457">
        <f>SUM(G7:G9)</f>
        <v>15906032.41</v>
      </c>
      <c r="H11" s="458"/>
      <c r="I11" s="457">
        <f>SUM(I7:I9)</f>
        <v>13701025.719999999</v>
      </c>
    </row>
    <row r="12" spans="1:9" ht="24.75" thickTop="1" x14ac:dyDescent="0.55000000000000004">
      <c r="A12" s="47"/>
      <c r="B12" s="47"/>
      <c r="C12" s="47"/>
      <c r="D12" s="47"/>
      <c r="E12" s="47"/>
      <c r="F12" s="47"/>
      <c r="G12" s="459"/>
      <c r="H12" s="460"/>
      <c r="I12" s="461"/>
    </row>
    <row r="13" spans="1:9" ht="24" x14ac:dyDescent="0.55000000000000004">
      <c r="B13" s="47"/>
      <c r="C13" s="47"/>
      <c r="D13" s="47"/>
      <c r="E13" s="47"/>
      <c r="F13" s="47"/>
      <c r="G13" s="459"/>
      <c r="H13" s="460"/>
      <c r="I13" s="461"/>
    </row>
    <row r="14" spans="1:9" ht="24" x14ac:dyDescent="0.55000000000000004">
      <c r="A14" s="238" t="s">
        <v>413</v>
      </c>
      <c r="B14" s="47"/>
      <c r="G14" s="462"/>
      <c r="H14" s="463"/>
      <c r="I14" s="462"/>
    </row>
    <row r="15" spans="1:9" ht="27.75" x14ac:dyDescent="0.65">
      <c r="A15" s="47"/>
      <c r="B15" s="47"/>
      <c r="G15" s="449">
        <v>2561</v>
      </c>
      <c r="H15" s="446"/>
      <c r="I15" s="449">
        <v>2560</v>
      </c>
    </row>
    <row r="16" spans="1:9" ht="24" x14ac:dyDescent="0.55000000000000004">
      <c r="A16" s="47"/>
      <c r="B16" s="47" t="s">
        <v>151</v>
      </c>
      <c r="F16" s="452"/>
      <c r="G16" s="464">
        <v>1209827.25</v>
      </c>
      <c r="H16" s="464"/>
      <c r="I16" s="465">
        <v>923897.37</v>
      </c>
    </row>
    <row r="17" spans="1:10" ht="24" x14ac:dyDescent="0.55000000000000004">
      <c r="A17" s="47"/>
      <c r="B17" s="47"/>
      <c r="G17" s="464">
        <v>1209827.25</v>
      </c>
      <c r="H17" s="464"/>
      <c r="I17" s="465">
        <v>923897.37</v>
      </c>
    </row>
    <row r="18" spans="1:10" ht="24.75" thickBot="1" x14ac:dyDescent="0.6">
      <c r="A18" s="47"/>
      <c r="B18" s="737" t="s">
        <v>14</v>
      </c>
      <c r="C18" s="737"/>
      <c r="D18" s="737"/>
      <c r="E18" s="737"/>
      <c r="F18" s="737"/>
      <c r="G18" s="457">
        <f>SUM(G17)</f>
        <v>1209827.25</v>
      </c>
      <c r="H18" s="458"/>
      <c r="I18" s="457">
        <f>SUM(I17)</f>
        <v>923897.37</v>
      </c>
    </row>
    <row r="19" spans="1:10" ht="22.5" thickTop="1" x14ac:dyDescent="0.5"/>
    <row r="23" spans="1:10" s="1" customFormat="1" x14ac:dyDescent="0.5">
      <c r="A23" s="762" t="s">
        <v>182</v>
      </c>
      <c r="B23" s="762"/>
      <c r="C23" s="762"/>
      <c r="D23" s="762" t="s">
        <v>182</v>
      </c>
      <c r="E23" s="762"/>
      <c r="F23" s="762"/>
      <c r="G23" s="762" t="s">
        <v>182</v>
      </c>
      <c r="H23" s="762"/>
      <c r="I23" s="762"/>
    </row>
    <row r="24" spans="1:10" s="1" customFormat="1" x14ac:dyDescent="0.5">
      <c r="A24" s="746" t="s">
        <v>180</v>
      </c>
      <c r="B24" s="746"/>
      <c r="C24" s="746"/>
      <c r="D24" s="746" t="s">
        <v>180</v>
      </c>
      <c r="E24" s="746"/>
      <c r="F24" s="746"/>
      <c r="G24" s="746" t="s">
        <v>670</v>
      </c>
      <c r="H24" s="746"/>
      <c r="I24" s="746"/>
      <c r="J24" s="454"/>
    </row>
    <row r="25" spans="1:10" s="1" customFormat="1" x14ac:dyDescent="0.5">
      <c r="A25" s="746" t="s">
        <v>69</v>
      </c>
      <c r="B25" s="746"/>
      <c r="C25" s="746"/>
      <c r="D25" s="746" t="s">
        <v>576</v>
      </c>
      <c r="E25" s="746"/>
      <c r="F25" s="746"/>
      <c r="G25" s="746" t="s">
        <v>70</v>
      </c>
      <c r="H25" s="746"/>
      <c r="I25" s="746"/>
      <c r="J25" s="330"/>
    </row>
    <row r="26" spans="1:10" s="1" customFormat="1" x14ac:dyDescent="0.5">
      <c r="A26" s="746" t="s">
        <v>71</v>
      </c>
      <c r="B26" s="746"/>
      <c r="C26" s="746"/>
      <c r="D26" s="746"/>
      <c r="E26" s="746"/>
      <c r="F26" s="746"/>
      <c r="G26" s="746"/>
      <c r="H26" s="746"/>
      <c r="I26" s="746"/>
      <c r="J26" s="746"/>
    </row>
    <row r="27" spans="1:10" s="1" customFormat="1" x14ac:dyDescent="0.5">
      <c r="A27" s="364"/>
      <c r="B27" s="364"/>
      <c r="C27" s="364"/>
      <c r="D27" s="364"/>
      <c r="E27" s="364"/>
      <c r="F27" s="364"/>
      <c r="G27" s="364"/>
      <c r="H27" s="439"/>
      <c r="I27" s="364"/>
      <c r="J27" s="364"/>
    </row>
    <row r="28" spans="1:10" s="1" customFormat="1" x14ac:dyDescent="0.5">
      <c r="A28" s="364"/>
      <c r="B28" s="364"/>
      <c r="C28" s="364"/>
      <c r="D28" s="364"/>
      <c r="E28" s="364"/>
      <c r="F28" s="364"/>
      <c r="G28" s="364"/>
      <c r="H28" s="439"/>
      <c r="I28" s="364"/>
      <c r="J28" s="364"/>
    </row>
    <row r="29" spans="1:10" s="1" customFormat="1" x14ac:dyDescent="0.5">
      <c r="A29" s="364"/>
      <c r="B29" s="364"/>
      <c r="C29" s="364"/>
      <c r="D29" s="364"/>
      <c r="E29" s="364"/>
      <c r="F29" s="364"/>
      <c r="G29" s="364"/>
      <c r="H29" s="439"/>
      <c r="I29" s="364"/>
      <c r="J29" s="364"/>
    </row>
    <row r="30" spans="1:10" s="1" customFormat="1" x14ac:dyDescent="0.5">
      <c r="A30" s="364"/>
      <c r="B30" s="364"/>
      <c r="C30" s="364"/>
      <c r="D30" s="364"/>
      <c r="E30" s="364"/>
      <c r="F30" s="364"/>
      <c r="G30" s="364"/>
      <c r="H30" s="439"/>
      <c r="I30" s="364"/>
      <c r="J30" s="364"/>
    </row>
    <row r="31" spans="1:10" s="1" customFormat="1" x14ac:dyDescent="0.5">
      <c r="A31" s="364"/>
      <c r="B31" s="364"/>
      <c r="C31" s="364"/>
      <c r="D31" s="364"/>
      <c r="E31" s="364"/>
      <c r="F31" s="364"/>
      <c r="G31" s="364"/>
      <c r="H31" s="439"/>
      <c r="I31" s="364"/>
      <c r="J31" s="364"/>
    </row>
    <row r="34" spans="1:6" ht="24" x14ac:dyDescent="0.55000000000000004">
      <c r="A34" s="737"/>
      <c r="B34" s="737"/>
      <c r="C34" s="737"/>
      <c r="D34" s="737"/>
      <c r="E34" s="737"/>
      <c r="F34" s="737"/>
    </row>
    <row r="35" spans="1:6" ht="24" x14ac:dyDescent="0.55000000000000004">
      <c r="A35" s="737"/>
      <c r="B35" s="737"/>
      <c r="C35" s="737"/>
      <c r="D35" s="737"/>
      <c r="E35" s="737"/>
      <c r="F35" s="737"/>
    </row>
    <row r="36" spans="1:6" ht="24" x14ac:dyDescent="0.55000000000000004">
      <c r="A36" s="737"/>
      <c r="B36" s="737"/>
      <c r="C36" s="737"/>
      <c r="D36" s="737"/>
      <c r="E36" s="737"/>
      <c r="F36" s="737"/>
    </row>
    <row r="37" spans="1:6" ht="24" x14ac:dyDescent="0.55000000000000004">
      <c r="A37" s="47"/>
      <c r="B37" s="47"/>
      <c r="C37" s="47"/>
      <c r="D37" s="47"/>
      <c r="E37" s="47"/>
      <c r="F37" s="47"/>
    </row>
    <row r="38" spans="1:6" ht="24" x14ac:dyDescent="0.55000000000000004">
      <c r="A38" s="238"/>
      <c r="B38" s="47"/>
      <c r="C38" s="47"/>
      <c r="D38" s="363"/>
      <c r="E38" s="363"/>
      <c r="F38" s="363"/>
    </row>
    <row r="39" spans="1:6" ht="24" x14ac:dyDescent="0.55000000000000004">
      <c r="A39" s="47"/>
      <c r="B39" s="47"/>
      <c r="C39" s="47"/>
      <c r="D39" s="422"/>
      <c r="E39" s="47"/>
      <c r="F39" s="422"/>
    </row>
    <row r="40" spans="1:6" ht="24" x14ac:dyDescent="0.55000000000000004">
      <c r="A40" s="47"/>
      <c r="B40" s="47"/>
      <c r="C40" s="47"/>
      <c r="D40" s="422"/>
      <c r="E40" s="47"/>
      <c r="F40" s="422"/>
    </row>
    <row r="41" spans="1:6" ht="24" x14ac:dyDescent="0.55000000000000004">
      <c r="A41" s="47"/>
      <c r="B41" s="47"/>
      <c r="C41" s="47"/>
      <c r="D41" s="422"/>
      <c r="E41" s="47"/>
      <c r="F41" s="422"/>
    </row>
    <row r="42" spans="1:6" ht="24" x14ac:dyDescent="0.55000000000000004">
      <c r="A42" s="47"/>
      <c r="B42" s="47"/>
      <c r="C42" s="47"/>
      <c r="D42" s="422"/>
      <c r="E42" s="47"/>
      <c r="F42" s="422"/>
    </row>
    <row r="43" spans="1:6" ht="24" x14ac:dyDescent="0.55000000000000004">
      <c r="A43" s="47"/>
      <c r="B43" s="47"/>
      <c r="C43" s="47"/>
      <c r="D43" s="422"/>
      <c r="E43" s="47"/>
      <c r="F43" s="422"/>
    </row>
    <row r="44" spans="1:6" ht="24" x14ac:dyDescent="0.55000000000000004">
      <c r="A44" s="47"/>
      <c r="B44" s="47"/>
      <c r="C44" s="47"/>
      <c r="D44" s="422"/>
      <c r="E44" s="47"/>
      <c r="F44" s="422"/>
    </row>
    <row r="45" spans="1:6" ht="24" x14ac:dyDescent="0.55000000000000004">
      <c r="A45" s="47"/>
      <c r="B45" s="47"/>
      <c r="C45" s="47"/>
      <c r="D45" s="422"/>
      <c r="E45" s="47"/>
      <c r="F45" s="422"/>
    </row>
    <row r="46" spans="1:6" ht="24" x14ac:dyDescent="0.55000000000000004">
      <c r="A46" s="47"/>
      <c r="B46" s="47"/>
      <c r="C46" s="47"/>
      <c r="D46" s="422"/>
      <c r="E46" s="47"/>
      <c r="F46" s="422"/>
    </row>
    <row r="47" spans="1:6" ht="24" x14ac:dyDescent="0.55000000000000004">
      <c r="A47" s="47"/>
      <c r="B47" s="47"/>
      <c r="C47" s="47"/>
      <c r="D47" s="422"/>
      <c r="E47" s="47"/>
      <c r="F47" s="422"/>
    </row>
    <row r="48" spans="1:6" ht="24" x14ac:dyDescent="0.55000000000000004">
      <c r="A48" s="47"/>
      <c r="B48" s="47"/>
      <c r="C48" s="47"/>
      <c r="D48" s="422"/>
      <c r="E48" s="47"/>
      <c r="F48" s="422"/>
    </row>
    <row r="49" spans="1:6" ht="24" x14ac:dyDescent="0.55000000000000004">
      <c r="A49" s="47"/>
      <c r="B49" s="47"/>
      <c r="C49" s="47"/>
      <c r="D49" s="422"/>
      <c r="E49" s="47"/>
      <c r="F49" s="422"/>
    </row>
    <row r="50" spans="1:6" ht="24" x14ac:dyDescent="0.55000000000000004">
      <c r="A50" s="47"/>
      <c r="B50" s="47"/>
      <c r="C50" s="47"/>
      <c r="D50" s="422"/>
      <c r="E50" s="47"/>
      <c r="F50" s="47"/>
    </row>
    <row r="51" spans="1:6" ht="24" x14ac:dyDescent="0.55000000000000004">
      <c r="A51" s="47"/>
      <c r="B51" s="47"/>
      <c r="C51" s="47"/>
      <c r="D51" s="422"/>
      <c r="E51" s="47"/>
      <c r="F51" s="47"/>
    </row>
    <row r="52" spans="1:6" ht="24.75" thickBot="1" x14ac:dyDescent="0.6">
      <c r="A52" s="47"/>
      <c r="B52" s="450"/>
      <c r="C52" s="365"/>
      <c r="D52" s="451"/>
      <c r="E52" s="47"/>
      <c r="F52" s="451"/>
    </row>
    <row r="53" spans="1:6" ht="24.75" thickTop="1" x14ac:dyDescent="0.55000000000000004">
      <c r="A53" s="47"/>
      <c r="B53" s="47"/>
      <c r="C53" s="365"/>
      <c r="D53" s="452"/>
      <c r="E53" s="47"/>
      <c r="F53" s="47"/>
    </row>
    <row r="54" spans="1:6" ht="24" x14ac:dyDescent="0.55000000000000004">
      <c r="A54" s="238"/>
      <c r="B54" s="47"/>
      <c r="C54" s="47"/>
      <c r="D54" s="363"/>
      <c r="E54" s="363"/>
      <c r="F54" s="363"/>
    </row>
    <row r="55" spans="1:6" ht="24" x14ac:dyDescent="0.55000000000000004">
      <c r="A55" s="47"/>
      <c r="B55" s="47"/>
      <c r="C55" s="365"/>
      <c r="D55" s="452"/>
      <c r="E55" s="47"/>
      <c r="F55" s="422"/>
    </row>
    <row r="56" spans="1:6" ht="24" x14ac:dyDescent="0.55000000000000004">
      <c r="A56" s="47"/>
      <c r="B56" s="47"/>
      <c r="C56" s="47"/>
      <c r="D56" s="47"/>
      <c r="E56" s="47"/>
      <c r="F56" s="47"/>
    </row>
    <row r="57" spans="1:6" ht="24.75" thickBot="1" x14ac:dyDescent="0.6">
      <c r="A57" s="453"/>
      <c r="B57" s="450"/>
      <c r="C57" s="365"/>
      <c r="D57" s="451"/>
      <c r="E57" s="47"/>
      <c r="F57" s="451"/>
    </row>
    <row r="58" spans="1:6" ht="24.75" thickTop="1" x14ac:dyDescent="0.55000000000000004">
      <c r="A58" s="453"/>
      <c r="B58" s="453"/>
      <c r="C58" s="453"/>
      <c r="D58" s="412"/>
      <c r="E58" s="47"/>
      <c r="F58" s="47"/>
    </row>
    <row r="59" spans="1:6" ht="24" x14ac:dyDescent="0.55000000000000004">
      <c r="A59" s="238"/>
      <c r="B59" s="47"/>
      <c r="C59" s="47"/>
      <c r="D59" s="363"/>
      <c r="E59" s="363"/>
      <c r="F59" s="363"/>
    </row>
    <row r="60" spans="1:6" ht="24" x14ac:dyDescent="0.55000000000000004">
      <c r="A60" s="47"/>
      <c r="B60" s="47"/>
      <c r="C60" s="365"/>
      <c r="D60" s="452"/>
      <c r="E60" s="47"/>
      <c r="F60" s="422"/>
    </row>
    <row r="61" spans="1:6" ht="24" x14ac:dyDescent="0.55000000000000004">
      <c r="A61" s="47"/>
      <c r="B61" s="47"/>
      <c r="C61" s="47"/>
      <c r="D61" s="47"/>
      <c r="E61" s="47"/>
      <c r="F61" s="47"/>
    </row>
    <row r="62" spans="1:6" ht="24.75" thickBot="1" x14ac:dyDescent="0.6">
      <c r="A62" s="453"/>
      <c r="B62" s="450"/>
      <c r="C62" s="365"/>
      <c r="D62" s="451"/>
      <c r="E62" s="47"/>
      <c r="F62" s="451"/>
    </row>
    <row r="63" spans="1:6" ht="24.75" thickTop="1" x14ac:dyDescent="0.55000000000000004">
      <c r="A63" s="453"/>
      <c r="B63" s="450"/>
      <c r="C63" s="365"/>
      <c r="D63" s="452"/>
      <c r="E63" s="47"/>
      <c r="F63" s="452"/>
    </row>
  </sheetData>
  <mergeCells count="21">
    <mergeCell ref="A34:F34"/>
    <mergeCell ref="A35:F35"/>
    <mergeCell ref="A36:F36"/>
    <mergeCell ref="B7:F7"/>
    <mergeCell ref="G23:I23"/>
    <mergeCell ref="G24:I24"/>
    <mergeCell ref="G25:I25"/>
    <mergeCell ref="A23:C23"/>
    <mergeCell ref="D23:F23"/>
    <mergeCell ref="A26:C26"/>
    <mergeCell ref="D26:F26"/>
    <mergeCell ref="G26:J26"/>
    <mergeCell ref="A24:C24"/>
    <mergeCell ref="D24:F24"/>
    <mergeCell ref="A25:C25"/>
    <mergeCell ref="D25:F25"/>
    <mergeCell ref="A1:I1"/>
    <mergeCell ref="A2:I2"/>
    <mergeCell ref="A3:I3"/>
    <mergeCell ref="B11:F11"/>
    <mergeCell ref="B18:F18"/>
  </mergeCells>
  <pageMargins left="0.59" right="0.38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18</vt:i4>
      </vt:variant>
    </vt:vector>
  </HeadingPairs>
  <TitlesOfParts>
    <vt:vector size="18" baseType="lpstr">
      <vt:lpstr>งบทดลองหลังปิดบัญชี</vt:lpstr>
      <vt:lpstr>หมายเหตุนโยบายการบัญชี(61)</vt:lpstr>
      <vt:lpstr>หมายเหตุ 1รับจ่ายจริง</vt:lpstr>
      <vt:lpstr>งบรายรับ-รายจ่าย(61)</vt:lpstr>
      <vt:lpstr>งบแสดงฐานะการเงิน(สท,นส)</vt:lpstr>
      <vt:lpstr>หมายเหตุงบทรัพย์สิน61</vt:lpstr>
      <vt:lpstr>งบทรัพย์สิน61(หมายเหตุ2)</vt:lpstr>
      <vt:lpstr>รายละเอียดสินทรัพย์รับเพิ่ม61</vt:lpstr>
      <vt:lpstr>หมายเหตุ 3-4</vt:lpstr>
      <vt:lpstr>หมายเหตุ 6 และ7(ลูกหนี้)</vt:lpstr>
      <vt:lpstr>หมายเหตุ5,9</vt:lpstr>
      <vt:lpstr>หมายเหตุ8</vt:lpstr>
      <vt:lpstr>หมายเหตุ10เงินสะสม (61)</vt:lpstr>
      <vt:lpstr>แนบท้ายหมายเหตุ 10</vt:lpstr>
      <vt:lpstr>หมายเหตุ11เงินทุน</vt:lpstr>
      <vt:lpstr>แนบท้ายหมายเหตุ11</vt:lpstr>
      <vt:lpstr>บัญชีเงินรับฝาก(61)</vt:lpstr>
      <vt:lpstr>แบบ กค4(ลูกหนี้ค่าขยะ)</vt:lpstr>
    </vt:vector>
  </TitlesOfParts>
  <Company>obt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KKD Windows 7 V.3</cp:lastModifiedBy>
  <cp:lastPrinted>2018-10-30T04:03:23Z</cp:lastPrinted>
  <dcterms:created xsi:type="dcterms:W3CDTF">2005-12-07T02:50:10Z</dcterms:created>
  <dcterms:modified xsi:type="dcterms:W3CDTF">2018-10-31T06:53:52Z</dcterms:modified>
</cp:coreProperties>
</file>